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rosenberger-my.sharepoint.com/personal/muhammad_javed_rosenberger_com/Documents/Dokumente/Material Compliance Specialist/Shafey/"/>
    </mc:Choice>
  </mc:AlternateContent>
  <xr:revisionPtr revIDLastSave="54" documentId="8_{2ED33F5F-B200-463B-8D4B-DC13044D8718}" xr6:coauthVersionLast="47" xr6:coauthVersionMax="47" xr10:uidLastSave="{D9B1AE00-5EED-4B4C-B16E-5D38096C3CFB}"/>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X12" i="5"/>
  <c r="X13" i="5"/>
  <c r="X14" i="5"/>
  <c r="X15" i="5"/>
  <c r="X16" i="5"/>
  <c r="E17" i="5"/>
  <c r="X17" i="5"/>
  <c r="X18" i="5"/>
  <c r="X20" i="5"/>
  <c r="X21" i="5"/>
  <c r="X22" i="5"/>
  <c r="X23" i="5"/>
  <c r="X24" i="5"/>
  <c r="X25" i="5"/>
  <c r="X26" i="5"/>
  <c r="X28" i="5"/>
  <c r="X29" i="5"/>
  <c r="X31" i="5"/>
  <c r="X32" i="5"/>
  <c r="X33" i="5"/>
  <c r="X34" i="5"/>
  <c r="X35" i="5"/>
  <c r="X37" i="5"/>
  <c r="X38" i="5"/>
  <c r="X39" i="5"/>
  <c r="X41" i="5"/>
  <c r="X42" i="5"/>
  <c r="X44" i="5"/>
  <c r="X45" i="5"/>
  <c r="X46"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X27" i="5"/>
  <c r="F43" i="5"/>
  <c r="X43" i="5"/>
  <c r="H87" i="5"/>
  <c r="E87" i="5"/>
  <c r="X87" i="5"/>
  <c r="F103" i="5"/>
  <c r="E103" i="5"/>
  <c r="X103" i="5"/>
  <c r="I175" i="5"/>
  <c r="E175" i="5"/>
  <c r="X175" i="5"/>
  <c r="I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X6" i="5"/>
  <c r="H18" i="5"/>
  <c r="F18" i="5"/>
  <c r="R20" i="5"/>
  <c r="F20" i="5"/>
  <c r="H20" i="5"/>
  <c r="I20" i="5"/>
  <c r="F21" i="5"/>
  <c r="R21" i="5"/>
  <c r="H22" i="5"/>
  <c r="F22" i="5"/>
  <c r="F24" i="5"/>
  <c r="H26" i="5"/>
  <c r="F26" i="5"/>
  <c r="H28" i="5"/>
  <c r="R28" i="5"/>
  <c r="F28" i="5"/>
  <c r="I28" i="5"/>
  <c r="R29" i="5"/>
  <c r="F29" i="5"/>
  <c r="F30" i="5"/>
  <c r="H30" i="5"/>
  <c r="F32" i="5"/>
  <c r="F33" i="5"/>
  <c r="H33" i="5"/>
  <c r="F34" i="5"/>
  <c r="R36" i="5"/>
  <c r="I36" i="5"/>
  <c r="F36" i="5"/>
  <c r="H36" i="5"/>
  <c r="F37" i="5"/>
  <c r="H37" i="5"/>
  <c r="F38" i="5"/>
  <c r="R40" i="5"/>
  <c r="F40" i="5"/>
  <c r="H40" i="5"/>
  <c r="I40" i="5"/>
  <c r="F41" i="5"/>
  <c r="H41" i="5"/>
  <c r="F42" i="5"/>
  <c r="R44" i="5"/>
  <c r="I44" i="5"/>
  <c r="F44" i="5"/>
  <c r="H44" i="5"/>
  <c r="F45" i="5"/>
  <c r="H45" i="5"/>
  <c r="F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AB10" i="5"/>
  <c r="AB11" i="5"/>
  <c r="AB12" i="5"/>
  <c r="AB13" i="5"/>
  <c r="AB14" i="5"/>
  <c r="AB15" i="5"/>
  <c r="AB16" i="5"/>
  <c r="AB17" i="5"/>
  <c r="S17" i="5"/>
  <c r="AB18" i="5"/>
  <c r="AB22" i="5"/>
  <c r="AB24" i="5"/>
  <c r="AB26" i="5"/>
  <c r="AB30" i="5"/>
  <c r="AB32"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I17" i="5"/>
  <c r="F17" i="5"/>
  <c r="H17" i="5"/>
  <c r="R17" i="5"/>
  <c r="R18" i="5"/>
  <c r="I18" i="5"/>
  <c r="R19" i="5"/>
  <c r="H19" i="5"/>
  <c r="F19" i="5"/>
  <c r="H21" i="5"/>
  <c r="I21" i="5"/>
  <c r="R22" i="5"/>
  <c r="I22" i="5"/>
  <c r="F23" i="5"/>
  <c r="I23" i="5"/>
  <c r="H23" i="5"/>
  <c r="R23" i="5"/>
  <c r="I24" i="5"/>
  <c r="H24" i="5"/>
  <c r="R24" i="5"/>
  <c r="F25" i="5"/>
  <c r="R25" i="5"/>
  <c r="I25" i="5"/>
  <c r="H25" i="5"/>
  <c r="R26" i="5"/>
  <c r="I26" i="5"/>
  <c r="F27" i="5"/>
  <c r="R27" i="5"/>
  <c r="H27" i="5"/>
  <c r="I29" i="5"/>
  <c r="H29" i="5"/>
  <c r="I30" i="5"/>
  <c r="R30" i="5"/>
  <c r="H31" i="5"/>
  <c r="R31" i="5"/>
  <c r="F31" i="5"/>
  <c r="I31" i="5"/>
  <c r="H32" i="5"/>
  <c r="I32" i="5"/>
  <c r="R32" i="5"/>
  <c r="I33" i="5"/>
  <c r="R33" i="5"/>
  <c r="H34" i="5"/>
  <c r="R34" i="5"/>
  <c r="I34" i="5"/>
  <c r="F35" i="5"/>
  <c r="H35" i="5"/>
  <c r="R35" i="5"/>
  <c r="I35" i="5"/>
  <c r="R37" i="5"/>
  <c r="I37" i="5"/>
  <c r="H38" i="5"/>
  <c r="I38" i="5"/>
  <c r="R38" i="5"/>
  <c r="I39" i="5"/>
  <c r="R39" i="5"/>
  <c r="F39" i="5"/>
  <c r="H39" i="5"/>
  <c r="R41" i="5"/>
  <c r="I41" i="5"/>
  <c r="R42" i="5"/>
  <c r="H42" i="5"/>
  <c r="I42" i="5"/>
  <c r="R45" i="5"/>
  <c r="I45" i="5"/>
  <c r="R46" i="5"/>
  <c r="I46" i="5"/>
  <c r="H46" i="5"/>
  <c r="F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<sst xmlns="http://schemas.openxmlformats.org/spreadsheetml/2006/main" count="22607" uniqueCount="15894">
  <si>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</si>
  <si>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</si>
  <si>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</si>
  <si>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</si>
  <si>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</si>
  <si>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</si>
  <si>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</si>
  <si>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</si>
  <si>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</si>
  <si>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</si>
  <si>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</si>
  <si>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</si>
  <si>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</si>
  <si>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</si>
  <si>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</si>
  <si>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</si>
  <si>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</si>
  <si>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</si>
  <si>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</si>
  <si>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</si>
  <si>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</si>
  <si>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</si>
  <si>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</si>
  <si>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</si>
  <si>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</si>
  <si>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</si>
  <si>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</si>
  <si>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</si>
  <si>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</si>
  <si>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</si>
  <si>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</si>
  <si>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</si>
  <si>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</si>
  <si>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</si>
  <si>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</si>
  <si>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</si>
  <si>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</si>
  <si>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</si>
  <si>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</si>
  <si>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</si>
  <si>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</si>
  <si>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</si>
  <si>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</si>
  <si>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</si>
  <si>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</si>
  <si>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</si>
  <si>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</si>
  <si>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</si>
  <si>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</si>
  <si>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</si>
  <si>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</si>
  <si>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</si>
  <si>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</si>
  <si>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</si>
  <si>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</si>
  <si>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</si>
  <si>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</si>
  <si>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</si>
  <si>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</si>
  <si>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</si>
  <si>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</si>
  <si>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</si>
  <si>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</si>
  <si>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</si>
  <si>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</si>
  <si>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</si>
  <si>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</si>
  <si>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</si>
  <si>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</si>
  <si>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</si>
  <si>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</si>
  <si>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</si>
  <si>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</si>
  <si>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</si>
  <si>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</si>
  <si>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</si>
  <si>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</si>
  <si>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</si>
  <si>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</si>
  <si>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</si>
  <si>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</si>
  <si>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</si>
  <si>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</si>
  <si>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</si>
  <si>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</si>
  <si>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</si>
  <si>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</si>
  <si>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</si>
  <si>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</si>
  <si>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</si>
  <si>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</si>
  <si>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</si>
  <si>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</si>
  <si>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</si>
  <si>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</si>
  <si>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</si>
  <si>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</si>
  <si>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</si>
  <si>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</si>
  <si>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</si>
  <si>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</si>
  <si>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</si>
  <si>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</si>
  <si>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</si>
  <si>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</si>
  <si>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</si>
  <si>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</si>
  <si>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</si>
  <si>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</si>
  <si>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</si>
  <si>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</si>
  <si>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</si>
  <si>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</si>
  <si>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</si>
  <si>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</si>
  <si>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</si>
  <si>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</si>
  <si>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</si>
  <si>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</si>
  <si>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</si>
  <si>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</si>
  <si>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</si>
  <si>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</si>
  <si>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</si>
  <si>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</si>
  <si>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</si>
  <si>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</si>
  <si>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</si>
  <si>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</si>
  <si>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</si>
  <si>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</si>
  <si>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</si>
  <si>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</si>
  <si>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</si>
  <si>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</si>
  <si>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</si>
  <si>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</si>
  <si>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</si>
  <si>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</si>
  <si>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</si>
  <si>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</si>
  <si>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</si>
  <si>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</si>
  <si>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</si>
  <si>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</si>
  <si>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</si>
  <si>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</si>
  <si>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</si>
  <si>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</si>
  <si>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</si>
  <si>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</si>
  <si>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</si>
  <si>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</si>
  <si>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</si>
  <si>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</si>
  <si>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</si>
  <si>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</si>
  <si>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</si>
  <si>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</si>
  <si>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</si>
  <si>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</si>
  <si>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</si>
  <si>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</si>
  <si>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</si>
  <si>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</si>
  <si>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</si>
  <si>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</si>
  <si>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</si>
  <si>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</si>
  <si>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</si>
  <si>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</si>
  <si>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</si>
  <si>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</si>
  <si>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</si>
  <si>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</si>
  <si>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</si>
  <si>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</si>
  <si>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</si>
  <si>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</si>
  <si>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</si>
  <si>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</si>
  <si>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</si>
  <si>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</si>
  <si>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</si>
  <si>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</si>
  <si>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</si>
  <si>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</si>
  <si>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</si>
  <si>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</si>
  <si>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</si>
  <si>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</si>
  <si>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</si>
  <si>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</si>
  <si>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</si>
  <si>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</si>
  <si>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</si>
  <si>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</si>
  <si>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</si>
  <si>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</si>
  <si>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</si>
  <si>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</si>
  <si>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</si>
  <si>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</si>
  <si>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</si>
  <si>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</si>
  <si>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</si>
  <si>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</si>
  <si>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</si>
  <si>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</si>
  <si>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</si>
  <si>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</si>
  <si>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</si>
  <si>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</si>
  <si>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</si>
  <si>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</si>
  <si>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</si>
  <si>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</si>
  <si>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</si>
  <si>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</si>
  <si>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</si>
  <si>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</si>
  <si>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</si>
  <si>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</si>
  <si>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</si>
  <si>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</si>
  <si>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</si>
  <si>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</si>
  <si>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</si>
  <si>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</si>
  <si>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</si>
  <si>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</si>
  <si>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</si>
  <si>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</si>
  <si>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</si>
  <si>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</si>
  <si>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</si>
  <si>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</si>
  <si>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</si>
  <si>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</si>
  <si>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</si>
  <si>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</si>
  <si>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</si>
  <si>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</si>
  <si>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</si>
  <si>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</si>
  <si>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</si>
  <si>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</si>
  <si>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</si>
  <si>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</si>
  <si>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</si>
  <si>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</si>
  <si>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</si>
  <si>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</si>
  <si>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</si>
  <si>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</si>
  <si>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</si>
  <si>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</si>
  <si>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</si>
  <si>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</si>
  <si>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</si>
  <si>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</si>
  <si>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</si>
  <si>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</si>
  <si>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</si>
  <si>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</si>
  <si>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</si>
  <si>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</si>
  <si>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</si>
  <si>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</si>
  <si>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</si>
  <si>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</si>
  <si>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</si>
  <si>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</si>
  <si>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</si>
  <si>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</si>
  <si>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</si>
  <si>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</si>
  <si>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</si>
  <si>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</si>
  <si>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</si>
  <si>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</si>
  <si>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</si>
  <si>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</si>
  <si>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</si>
  <si>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</si>
  <si>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</si>
  <si>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</si>
  <si>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</si>
  <si>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</si>
  <si>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</si>
  <si>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</si>
  <si>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</si>
  <si>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</si>
  <si>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</si>
  <si>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</si>
  <si>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</si>
  <si>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</si>
  <si>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</si>
  <si>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</si>
  <si>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</si>
  <si>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</si>
  <si>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</si>
  <si>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</si>
  <si>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</si>
  <si>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</si>
  <si>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</si>
  <si>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</si>
  <si>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</si>
  <si>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</si>
  <si>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</si>
  <si>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</si>
  <si>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</si>
  <si>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</si>
  <si>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</si>
  <si>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</si>
  <si>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</si>
  <si>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</si>
  <si>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</si>
  <si>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</si>
  <si>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</si>
  <si>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</si>
  <si>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</si>
  <si>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</si>
  <si>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</si>
  <si>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</si>
  <si>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</si>
  <si>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</si>
  <si>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</si>
  <si>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</si>
  <si>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</si>
  <si>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</si>
  <si>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</si>
  <si>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</si>
  <si>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</si>
  <si>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</si>
  <si>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</si>
  <si>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</si>
  <si>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</si>
  <si>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</si>
  <si>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</si>
  <si>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</si>
  <si>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</si>
  <si>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</si>
  <si>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</si>
  <si>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</si>
  <si>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</si>
  <si>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</si>
  <si>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</si>
  <si>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</si>
  <si>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</si>
  <si>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</si>
  <si>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</si>
  <si>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</si>
  <si>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</si>
  <si>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</si>
  <si>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</si>
  <si>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</si>
  <si>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</si>
  <si>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</si>
  <si>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</si>
  <si>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</si>
  <si>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</si>
  <si>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</si>
  <si>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</si>
  <si>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</si>
  <si>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</si>
  <si>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</si>
  <si>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</si>
  <si>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</si>
  <si>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</si>
  <si>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</si>
  <si>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</si>
  <si>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</si>
  <si>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</si>
  <si>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</si>
  <si>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</si>
  <si>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</si>
  <si>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</si>
  <si>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</si>
  <si>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</si>
  <si>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</si>
  <si>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</si>
  <si>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</si>
  <si>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</si>
  <si>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</si>
  <si>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</si>
  <si>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</si>
  <si>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</si>
  <si>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</si>
  <si>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</si>
  <si>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</si>
  <si>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</si>
  <si>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</si>
  <si>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</si>
  <si>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</si>
  <si>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</si>
  <si>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</si>
  <si>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</si>
  <si>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</si>
  <si>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</si>
  <si>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</si>
  <si>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</si>
  <si>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</si>
  <si>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</si>
  <si>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</si>
  <si>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</si>
  <si>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</si>
  <si>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</si>
  <si>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</si>
  <si>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</si>
  <si>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</si>
  <si>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</si>
  <si>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</si>
  <si>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</si>
  <si>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</si>
  <si>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</si>
  <si>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</si>
  <si>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</si>
  <si>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</si>
  <si>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</si>
  <si>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</si>
  <si>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</si>
  <si>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</si>
  <si>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</si>
  <si>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</si>
  <si>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</si>
  <si>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</si>
  <si>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</si>
  <si>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</si>
  <si>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</si>
  <si>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</si>
  <si>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</si>
  <si>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</si>
  <si>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</si>
  <si>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</si>
  <si>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</si>
  <si>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</si>
  <si>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</si>
  <si>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</si>
  <si>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</si>
  <si>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</si>
  <si>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</si>
  <si>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</si>
  <si>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</si>
  <si>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</si>
  <si>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</si>
  <si>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</si>
  <si>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</si>
  <si>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</si>
  <si>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</si>
  <si>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</si>
  <si>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</si>
  <si>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</si>
  <si>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</si>
  <si>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</si>
  <si>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</si>
  <si>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</si>
  <si>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</si>
  <si>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</si>
  <si>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</si>
  <si>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</si>
  <si>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</si>
  <si>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</si>
  <si>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</si>
  <si>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</si>
  <si>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</si>
  <si>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</si>
  <si>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</si>
  <si>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</si>
  <si>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</si>
  <si>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</si>
  <si>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</si>
  <si>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</si>
  <si>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</si>
  <si>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</si>
  <si>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</si>
  <si>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</si>
  <si>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</si>
  <si>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</si>
  <si>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</si>
  <si>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</si>
  <si>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</si>
  <si>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</si>
  <si>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</si>
  <si>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</si>
  <si>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</si>
  <si>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</si>
  <si>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</si>
  <si>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</si>
  <si>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</si>
  <si>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</si>
  <si>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</si>
  <si>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</si>
  <si>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</si>
  <si>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</si>
  <si>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</si>
  <si>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</si>
  <si>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</si>
  <si>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</si>
  <si>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</si>
  <si>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</si>
  <si>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</si>
  <si>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</si>
  <si>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</si>
  <si>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</si>
  <si>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</si>
  <si>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</si>
  <si>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</si>
  <si>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</si>
  <si>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</si>
  <si>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</si>
  <si>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</si>
  <si>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</si>
  <si>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</si>
  <si>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</si>
  <si>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</si>
  <si>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</si>
  <si>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</si>
  <si>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</si>
  <si>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</si>
  <si>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</si>
  <si>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</si>
  <si>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</si>
  <si>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</si>
  <si>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</si>
  <si>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</si>
  <si>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</si>
  <si>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</si>
  <si>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</si>
  <si>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</si>
  <si>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</si>
  <si>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</si>
  <si>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</si>
  <si>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</si>
  <si>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</si>
  <si>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</si>
  <si>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</si>
  <si>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</si>
  <si>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</si>
  <si>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</si>
  <si>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</si>
  <si>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</si>
  <si>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</si>
  <si>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</si>
  <si>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</si>
  <si>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</si>
  <si>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</si>
  <si>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</si>
  <si>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</si>
  <si>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</si>
  <si>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</si>
  <si>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</si>
  <si>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</si>
  <si>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</si>
  <si>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</si>
  <si>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</si>
  <si>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</si>
  <si>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</si>
  <si>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</si>
  <si>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</si>
  <si>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</si>
  <si>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</si>
  <si>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</si>
  <si>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</si>
  <si>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</si>
  <si>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</si>
  <si>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</si>
  <si>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</si>
  <si>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</si>
  <si>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</si>
  <si>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</si>
  <si>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</si>
  <si>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</si>
  <si>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</si>
  <si>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</si>
  <si>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</si>
  <si>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</si>
  <si>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</si>
  <si>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</si>
  <si>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</si>
  <si>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</si>
  <si>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</si>
  <si>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</si>
  <si>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</si>
  <si>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</si>
  <si>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</si>
  <si>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</si>
  <si>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</si>
  <si>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</si>
  <si>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</si>
  <si>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</si>
  <si>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</si>
  <si>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</si>
  <si>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</si>
  <si>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</si>
  <si>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</si>
  <si>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</si>
  <si>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</si>
  <si>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</si>
  <si>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</si>
  <si>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</si>
  <si>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</si>
  <si>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</si>
  <si>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</si>
  <si>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</si>
  <si>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</si>
  <si>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</si>
  <si>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</si>
  <si>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</si>
  <si>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</si>
  <si>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</si>
  <si>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</si>
  <si>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</si>
  <si>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</si>
  <si>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</si>
  <si>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</si>
  <si>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</si>
  <si>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</si>
  <si>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</si>
  <si>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</si>
  <si>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</si>
  <si>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</si>
  <si>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</si>
  <si>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</si>
  <si>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</si>
  <si>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</si>
  <si>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</si>
  <si>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</si>
  <si>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</si>
  <si>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</si>
  <si>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</si>
  <si>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</si>
  <si>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</si>
  <si>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</si>
  <si>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</si>
  <si>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</si>
  <si>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</si>
  <si>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</si>
  <si>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</si>
  <si>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</si>
  <si>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</si>
  <si>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</si>
  <si>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</si>
  <si>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</si>
  <si>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</si>
  <si>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</si>
  <si>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</si>
  <si>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</si>
  <si>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</si>
  <si>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</si>
  <si>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</si>
  <si>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</si>
  <si>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</si>
  <si>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</si>
  <si>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</si>
  <si>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</si>
  <si>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</si>
  <si>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</si>
  <si>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</si>
  <si>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</si>
  <si>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</si>
  <si>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</si>
  <si>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</si>
  <si>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</si>
  <si>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</si>
  <si>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</si>
  <si>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</si>
  <si>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</si>
  <si>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</si>
  <si>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</si>
  <si>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</si>
  <si>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</si>
  <si>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</si>
  <si>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</si>
  <si>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</si>
  <si>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</si>
  <si>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</si>
  <si>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</si>
  <si>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</si>
  <si>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</si>
  <si>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</si>
  <si>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</si>
  <si>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</si>
  <si>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</si>
  <si>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</si>
  <si>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</si>
  <si>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</si>
  <si>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</si>
  <si>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</si>
  <si>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</si>
  <si>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</si>
  <si>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</si>
  <si>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</si>
  <si>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</si>
  <si>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</si>
  <si>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</si>
  <si>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</si>
  <si>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</si>
  <si>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</si>
  <si>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</si>
  <si>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</si>
  <si>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</si>
  <si>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</si>
  <si>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</si>
  <si>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</si>
  <si>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</si>
  <si>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</si>
  <si>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</si>
  <si>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</si>
  <si>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</si>
  <si>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</si>
  <si>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</si>
  <si>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</si>
  <si>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</si>
  <si>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</si>
  <si>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</si>
  <si>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</si>
  <si>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</si>
  <si>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</si>
  <si>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</si>
  <si>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</si>
  <si>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</si>
  <si>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</si>
  <si>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</si>
  <si>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</si>
  <si>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</si>
  <si>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</si>
  <si>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</si>
  <si>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</si>
  <si>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</si>
  <si>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</si>
  <si>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</si>
  <si>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</si>
  <si>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</si>
  <si>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</si>
  <si>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</si>
  <si>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</si>
  <si>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</si>
  <si>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</si>
  <si>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</si>
  <si>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</si>
  <si>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</si>
  <si>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</si>
  <si>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</si>
  <si>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</si>
  <si>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</si>
  <si>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</si>
  <si>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</si>
  <si>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</si>
  <si>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</si>
  <si>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</si>
  <si>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</si>
  <si>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</si>
  <si>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</si>
  <si>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</si>
  <si>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</si>
  <si>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</si>
  <si>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</si>
  <si>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</si>
  <si>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</si>
  <si>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</si>
  <si>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</si>
  <si>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</si>
  <si>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</si>
  <si>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</si>
  <si>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</si>
  <si>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</si>
  <si>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</si>
  <si>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</si>
  <si>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</si>
  <si>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</si>
  <si>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</si>
  <si>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</si>
  <si>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</si>
  <si>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</si>
  <si>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</si>
  <si>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</si>
  <si>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</si>
  <si>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</si>
  <si>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</si>
  <si>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</si>
  <si>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</si>
  <si>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</si>
  <si>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</si>
  <si>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</si>
  <si>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</si>
  <si>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</si>
  <si>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</si>
  <si>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</si>
  <si>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</si>
  <si>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</si>
  <si>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</si>
  <si>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</si>
  <si>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</si>
  <si>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</si>
  <si>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</si>
  <si>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</si>
  <si>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</si>
  <si>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</si>
  <si>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</si>
  <si>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</si>
  <si>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</si>
  <si>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</si>
  <si>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</si>
  <si>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</si>
  <si>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</si>
  <si>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</si>
  <si>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</si>
  <si>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</si>
  <si>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</si>
  <si>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</si>
  <si>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</si>
  <si>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</si>
  <si>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</si>
  <si>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</si>
  <si>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</si>
  <si>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</si>
  <si>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</si>
  <si>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</si>
  <si>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</si>
  <si>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</si>
  <si>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</si>
  <si>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</si>
  <si>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</si>
  <si>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</si>
  <si>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</si>
  <si>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</si>
  <si>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</si>
  <si>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</si>
  <si>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</si>
  <si>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</si>
  <si>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</si>
  <si>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</si>
  <si>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</si>
  <si>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</si>
  <si>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</si>
  <si>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</si>
  <si>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</si>
  <si>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</si>
  <si>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</si>
  <si>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</si>
  <si>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</si>
  <si>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</si>
  <si>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</si>
  <si>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</si>
  <si>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</si>
  <si>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</si>
  <si>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</si>
  <si>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</si>
  <si>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</si>
  <si>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</si>
  <si>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</si>
  <si>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</si>
  <si>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</si>
  <si>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</si>
  <si>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</si>
  <si>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</si>
  <si>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</si>
  <si>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</si>
  <si>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</si>
  <si>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</si>
  <si>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</si>
  <si>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</si>
  <si>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</si>
  <si>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</si>
  <si>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</si>
  <si>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</si>
  <si>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</si>
  <si>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</si>
  <si>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</si>
  <si>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</si>
  <si>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</si>
  <si>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</si>
  <si>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</si>
  <si>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</si>
  <si>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</si>
  <si>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</si>
  <si>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</si>
  <si>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</si>
  <si>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</si>
  <si>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</si>
  <si>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</si>
  <si>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</si>
  <si>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</si>
  <si>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</si>
  <si>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</si>
  <si>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</si>
  <si>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</si>
  <si>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</si>
  <si>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</si>
  <si>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</si>
  <si>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</si>
  <si>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</si>
  <si>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</si>
  <si>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</si>
  <si>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</si>
  <si>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</si>
  <si>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</si>
  <si>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</si>
  <si>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</si>
  <si>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</si>
  <si>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</si>
  <si>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</si>
  <si>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</si>
  <si>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</si>
  <si>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</si>
  <si>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</si>
  <si>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</si>
  <si>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</si>
  <si>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</si>
  <si>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</si>
  <si>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</si>
  <si>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</si>
  <si>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</si>
  <si>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</si>
  <si>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</si>
  <si>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</si>
  <si>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</si>
  <si>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</si>
  <si>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</si>
  <si>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</si>
  <si>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</si>
  <si>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</si>
  <si>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</si>
  <si>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</si>
  <si>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</si>
  <si>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</si>
  <si>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</si>
  <si>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</si>
  <si>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</si>
  <si>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</si>
  <si>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</si>
  <si>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</si>
  <si>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</si>
  <si>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</si>
  <si>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</si>
  <si>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</si>
  <si>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</si>
  <si>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</si>
  <si>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</si>
  <si>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</si>
  <si>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</si>
  <si>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</si>
  <si>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</si>
  <si>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</si>
  <si>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</si>
  <si>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</si>
  <si>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</si>
  <si>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</si>
  <si>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</si>
  <si>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</si>
  <si>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</si>
  <si>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</si>
  <si>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</si>
  <si>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</si>
  <si>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</si>
  <si>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</si>
  <si>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</si>
  <si>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</si>
  <si>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</si>
  <si>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</si>
  <si>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</si>
  <si>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</si>
  <si>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</si>
  <si>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</si>
  <si>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</si>
  <si>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</si>
  <si>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</si>
  <si>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</si>
  <si>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</si>
  <si>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</si>
  <si>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</si>
  <si>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</si>
  <si>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</si>
  <si>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</si>
  <si>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</si>
  <si>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</si>
  <si>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</si>
  <si>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</si>
  <si>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</si>
  <si>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</si>
  <si>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</si>
  <si>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</si>
  <si>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</si>
  <si>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</si>
  <si>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</si>
  <si>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</si>
  <si>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</si>
  <si>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</si>
  <si>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</si>
  <si>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</si>
  <si>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</si>
  <si>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</si>
  <si>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</si>
  <si>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</si>
  <si>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</si>
  <si>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</si>
  <si>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</si>
  <si>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</si>
  <si>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</si>
  <si>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</si>
  <si>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</si>
  <si>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</si>
  <si>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</si>
  <si>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</si>
  <si>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</si>
  <si>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</si>
  <si>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</si>
  <si>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</si>
  <si>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</si>
  <si>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</si>
  <si>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</si>
  <si>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</si>
  <si>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</si>
  <si>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</si>
  <si>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</si>
  <si>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</si>
  <si>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</si>
  <si>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</si>
  <si>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</si>
  <si>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</si>
  <si>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</si>
  <si>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</si>
  <si>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</si>
  <si>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</si>
  <si>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</si>
  <si>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</si>
  <si>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</si>
  <si>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</si>
  <si>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</si>
  <si>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</si>
  <si>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</si>
  <si>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</si>
  <si>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</si>
  <si>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</si>
  <si>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</si>
  <si>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</si>
  <si>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</si>
  <si>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</si>
  <si>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</si>
  <si>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</si>
  <si>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</si>
  <si>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</si>
  <si>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</si>
  <si>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</si>
  <si>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</si>
  <si>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</si>
  <si>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</si>
  <si>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</si>
  <si>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</si>
  <si>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</si>
  <si>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</si>
  <si>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</si>
  <si>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</si>
  <si>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</si>
  <si>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</si>
  <si>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</si>
  <si>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</si>
  <si>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</si>
  <si>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</si>
  <si>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</si>
  <si>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</si>
  <si>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</si>
  <si>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</si>
  <si>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</si>
  <si>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</si>
  <si>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</si>
  <si>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</si>
  <si>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</si>
  <si>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</si>
  <si>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</si>
  <si>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</si>
  <si>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</si>
  <si>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</si>
  <si>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</si>
  <si>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</si>
  <si>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</si>
  <si>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</si>
  <si>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</si>
  <si>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</si>
  <si>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</si>
  <si>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</si>
  <si>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</si>
  <si>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</si>
  <si>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</si>
  <si>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</si>
  <si>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</si>
  <si>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</si>
  <si>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</si>
  <si>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</si>
  <si>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</si>
  <si>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</si>
  <si>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</si>
  <si>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</si>
  <si>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</si>
  <si>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</si>
  <si>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</si>
  <si>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</si>
  <si>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</si>
  <si>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</si>
  <si>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</si>
  <si>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</si>
  <si>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</si>
  <si>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</si>
  <si>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</si>
  <si>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</si>
  <si>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</si>
  <si>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</si>
  <si>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</si>
  <si>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</si>
  <si>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</si>
  <si>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</si>
  <si>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</si>
  <si>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</si>
  <si>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</si>
  <si>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</si>
  <si>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</si>
  <si>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</si>
  <si>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</si>
  <si>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</si>
  <si>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</si>
  <si>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</si>
  <si>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</si>
  <si>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</si>
  <si>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</si>
  <si>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</si>
  <si>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</si>
  <si>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</si>
  <si>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</si>
  <si>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</si>
  <si>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</si>
  <si>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</si>
  <si>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</si>
  <si>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</si>
  <si>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</si>
  <si>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</si>
  <si>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</si>
  <si>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</si>
  <si>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</si>
  <si>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</si>
  <si>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</si>
  <si>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</si>
  <si>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</si>
  <si>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</si>
  <si>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</si>
  <si>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</si>
  <si>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</si>
  <si>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</si>
  <si>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</si>
  <si>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</si>
  <si>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</si>
  <si>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</si>
  <si>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</si>
  <si>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</si>
  <si>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</si>
  <si>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</si>
  <si>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</si>
  <si>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</si>
  <si>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</si>
  <si>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</si>
  <si>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</si>
  <si>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</si>
  <si>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</si>
  <si>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</si>
  <si>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</si>
  <si>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</si>
  <si>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</si>
  <si>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</si>
  <si>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</si>
  <si>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</si>
  <si>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</si>
  <si>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</si>
  <si>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</si>
  <si>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</si>
  <si>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</si>
  <si>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</si>
  <si>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</si>
  <si>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</si>
  <si>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</si>
  <si>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</si>
  <si>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</si>
  <si>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</si>
  <si>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</si>
  <si>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</si>
  <si>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</si>
  <si>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</si>
  <si>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</si>
  <si>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</si>
  <si>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</si>
  <si>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</si>
  <si>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</si>
  <si>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</si>
  <si>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</si>
  <si>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</si>
  <si>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</si>
  <si>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</si>
  <si>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</si>
  <si>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</si>
  <si>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</si>
  <si>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</si>
  <si>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</si>
  <si>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</si>
  <si>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</si>
  <si>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</si>
  <si>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</si>
  <si>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</si>
  <si>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</si>
  <si>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</si>
  <si>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</si>
  <si>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</si>
  <si>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</si>
  <si>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</si>
  <si>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</si>
  <si>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</si>
  <si>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</si>
  <si>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</si>
  <si>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</si>
  <si>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</si>
  <si>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</si>
  <si>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</si>
  <si>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</si>
  <si>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</si>
  <si>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</si>
  <si>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</si>
  <si>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</si>
  <si>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</si>
  <si>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</si>
  <si>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</si>
  <si>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</si>
  <si>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</si>
  <si>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</si>
  <si>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</si>
  <si>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</si>
  <si>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</si>
  <si>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</si>
  <si>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</si>
  <si>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</si>
  <si>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</si>
  <si>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</si>
  <si>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</si>
  <si>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</si>
  <si>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</si>
  <si>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</si>
  <si>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</si>
  <si>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</si>
  <si>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</si>
  <si>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</si>
  <si>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</si>
  <si>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</si>
  <si>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</si>
  <si>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</si>
  <si>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</si>
  <si>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</si>
  <si>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</si>
  <si>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</si>
  <si>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</si>
  <si>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</si>
  <si>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</si>
  <si>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</si>
  <si>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</si>
  <si>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</si>
  <si>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</si>
  <si>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</si>
  <si>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</si>
  <si>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</si>
  <si>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</si>
  <si>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</si>
  <si>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</si>
  <si>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</si>
  <si>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</si>
  <si>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</si>
  <si>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</si>
  <si>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</si>
  <si>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</si>
  <si>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</si>
  <si>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</si>
  <si>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</si>
  <si>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</si>
  <si>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</si>
  <si>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</si>
  <si>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</si>
  <si>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</si>
  <si>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</si>
  <si>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</si>
  <si>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</si>
  <si>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</si>
  <si>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</si>
  <si>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</si>
  <si>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</si>
  <si>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</si>
  <si>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</si>
  <si>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</si>
  <si>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</si>
  <si>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</si>
  <si>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</si>
  <si>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</si>
  <si>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</si>
  <si>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</si>
  <si>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</si>
  <si>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</si>
  <si>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</si>
  <si>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</si>
  <si>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</si>
  <si>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</si>
  <si>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</si>
  <si>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</si>
  <si>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</si>
  <si>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</si>
  <si>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</si>
  <si>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</si>
  <si>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</si>
  <si>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</si>
  <si>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</si>
  <si>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</si>
  <si>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</si>
  <si>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</si>
  <si>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</si>
  <si>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</si>
  <si>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</si>
  <si>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</si>
  <si>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</si>
  <si>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</si>
  <si>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</si>
  <si>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</si>
  <si>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</si>
  <si>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</si>
  <si>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</si>
  <si>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</si>
  <si>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</si>
  <si>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</si>
  <si>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</si>
  <si>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</si>
  <si>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</si>
  <si>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</si>
  <si>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</si>
  <si>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</si>
  <si>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</si>
  <si>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</si>
  <si>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</si>
  <si>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</si>
  <si>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</si>
  <si>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</si>
  <si>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</si>
  <si>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</si>
  <si>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</si>
  <si>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</si>
  <si>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</si>
  <si>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</si>
  <si>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</si>
  <si>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</si>
  <si>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</si>
  <si>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</si>
  <si>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</si>
  <si>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</si>
  <si>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</si>
  <si>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</si>
  <si>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</si>
  <si>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</si>
  <si>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</si>
  <si>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</si>
  <si>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</si>
  <si>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</si>
  <si>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</si>
  <si>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</si>
  <si>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</si>
  <si>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</si>
  <si>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</si>
  <si>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</si>
  <si>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</si>
  <si>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</si>
  <si>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</si>
  <si>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</si>
  <si>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</si>
  <si>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</si>
  <si>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</si>
  <si>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</si>
  <si>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</si>
  <si>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</si>
  <si>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</si>
  <si>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</si>
  <si>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</si>
  <si>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</si>
  <si>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</si>
  <si>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</si>
  <si>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</si>
  <si>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</si>
  <si>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</si>
  <si>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</si>
  <si>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</si>
  <si>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</si>
  <si>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</si>
  <si>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</si>
  <si>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</si>
  <si>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</si>
  <si>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</si>
  <si>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</si>
  <si>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</si>
  <si>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</si>
  <si>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</si>
  <si>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</si>
  <si>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</si>
  <si>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</si>
  <si>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</si>
  <si>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</si>
  <si>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</si>
  <si>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</si>
  <si>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</si>
  <si>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</si>
  <si>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</si>
  <si>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</si>
  <si>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</si>
  <si>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</si>
  <si>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</si>
  <si>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</si>
  <si>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</si>
  <si>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</si>
  <si>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</si>
  <si>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</si>
  <si>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</si>
  <si>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</si>
  <si>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</si>
  <si>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</si>
  <si>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</si>
  <si>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</si>
  <si>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</si>
  <si>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</si>
  <si>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</si>
  <si>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</si>
  <si>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</si>
  <si>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</si>
  <si>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</si>
  <si>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</si>
  <si>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</si>
  <si>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</si>
  <si>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</si>
  <si>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</si>
  <si>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</si>
  <si>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</si>
  <si>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</si>
  <si>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</si>
  <si>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</si>
  <si>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</si>
  <si>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</si>
  <si>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</si>
  <si>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</si>
  <si>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</si>
  <si>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</si>
  <si>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</si>
  <si>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</si>
  <si>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</si>
  <si>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</si>
  <si>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</si>
  <si>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</si>
  <si>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</si>
  <si>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</si>
  <si>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</si>
  <si>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</si>
  <si>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</si>
  <si>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</si>
  <si>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</si>
  <si>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</si>
  <si>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</si>
  <si>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</si>
  <si>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</si>
  <si>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</si>
  <si>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</si>
  <si>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</si>
  <si>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</si>
  <si>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</si>
  <si>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</si>
  <si>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</si>
  <si>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</si>
  <si>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</si>
  <si>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</si>
  <si>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</si>
  <si>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</si>
  <si>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</si>
  <si>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</si>
  <si>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</si>
  <si>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</si>
  <si>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</si>
  <si>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</si>
  <si>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</si>
  <si>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</si>
  <si>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</si>
  <si>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</si>
  <si>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</si>
  <si>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</si>
  <si>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</si>
  <si>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</si>
  <si>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</si>
  <si>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</si>
  <si>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</si>
  <si>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</si>
  <si>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</si>
  <si>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</si>
  <si>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</si>
  <si>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</si>
  <si>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</si>
  <si>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</si>
  <si>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</si>
  <si>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</si>
  <si>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</si>
  <si>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</si>
  <si>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</si>
  <si>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</si>
  <si>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</si>
  <si>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</si>
  <si>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</si>
  <si>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</si>
  <si>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</si>
  <si>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</si>
  <si>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</si>
  <si>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</si>
  <si>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</si>
  <si>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</si>
  <si>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</si>
  <si>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</si>
  <si>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</si>
  <si>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</si>
  <si>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</si>
  <si>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</si>
  <si>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</si>
  <si>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</si>
  <si>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</si>
  <si>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</si>
  <si>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</si>
  <si>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</si>
  <si>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</si>
  <si>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</si>
  <si>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</si>
  <si>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</si>
  <si>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</si>
  <si>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</si>
  <si>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</si>
  <si>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</si>
  <si>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</si>
  <si>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</si>
  <si>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</si>
  <si>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</si>
  <si>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</si>
  <si>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</si>
  <si>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</si>
  <si>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</si>
  <si>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</si>
  <si>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</si>
  <si>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</si>
  <si>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</si>
  <si>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</si>
  <si>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</si>
  <si>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</si>
  <si>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</si>
  <si>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</si>
  <si>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</si>
  <si>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</si>
  <si>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</si>
  <si>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</si>
  <si>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</si>
  <si>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</si>
  <si>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</si>
  <si>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</si>
  <si>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</si>
  <si>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</si>
  <si>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</si>
  <si>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</si>
  <si>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</si>
  <si>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</si>
  <si>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</si>
  <si>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</si>
  <si>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</si>
  <si>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</si>
  <si>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</si>
  <si>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</si>
  <si>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</si>
  <si>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</si>
  <si>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</si>
  <si>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</si>
  <si>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</si>
  <si>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</si>
  <si>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</si>
  <si>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</si>
  <si>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</si>
  <si>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</si>
  <si>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</si>
  <si>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</si>
  <si>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</si>
  <si>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</si>
  <si>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</si>
  <si>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</si>
  <si>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</si>
  <si>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</si>
  <si>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</si>
  <si>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</si>
  <si>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</si>
  <si>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</si>
  <si>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</si>
  <si>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</si>
  <si>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</si>
  <si>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</si>
  <si>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</si>
  <si>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</si>
  <si>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</si>
  <si>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</si>
  <si>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</si>
  <si>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</si>
  <si>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</si>
  <si>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</si>
  <si>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</si>
  <si>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</si>
  <si>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</si>
  <si>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</si>
  <si>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</si>
  <si>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</si>
  <si>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</si>
  <si>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</si>
  <si>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</si>
  <si>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</si>
  <si>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</si>
  <si>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</si>
  <si>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</si>
  <si>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</si>
  <si>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</si>
  <si>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</si>
  <si>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</si>
  <si>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</si>
  <si>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</si>
  <si>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</si>
  <si>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</si>
  <si>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</si>
  <si>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</si>
  <si>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</si>
  <si>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</si>
  <si>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</si>
  <si>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</si>
  <si>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</si>
  <si>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</si>
  <si>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</si>
  <si>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</si>
  <si>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</si>
  <si>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</si>
  <si>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</si>
  <si>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</si>
  <si>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</si>
  <si>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</si>
  <si>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</si>
  <si>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</si>
  <si>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</si>
  <si>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</si>
  <si>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</si>
  <si>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</si>
  <si>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</si>
  <si>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</si>
  <si>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</si>
  <si>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</si>
  <si>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</si>
  <si>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</si>
  <si>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</si>
  <si>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</si>
  <si>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</si>
  <si>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</si>
  <si>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</si>
  <si>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</si>
  <si>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</si>
  <si>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</si>
  <si>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</si>
  <si>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</si>
  <si>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</si>
  <si>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</si>
  <si>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</si>
  <si>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</si>
  <si>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</si>
  <si>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</si>
  <si>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</si>
  <si>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</si>
  <si>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</si>
  <si>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</si>
  <si>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</si>
  <si>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</si>
  <si>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</si>
  <si>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</si>
  <si>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</si>
  <si>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</si>
  <si>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</si>
  <si>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</si>
  <si>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</si>
  <si>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</si>
  <si>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</si>
  <si>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</si>
  <si>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</si>
  <si>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</si>
  <si>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</si>
  <si>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</si>
  <si>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</si>
  <si>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</si>
  <si>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</si>
  <si>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</si>
  <si>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</si>
  <si>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</si>
  <si>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</si>
  <si>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</si>
  <si>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</si>
  <si>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</si>
  <si>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</si>
  <si>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</si>
  <si>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</si>
  <si>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</si>
  <si>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</si>
  <si>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</si>
  <si>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</si>
  <si>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</si>
  <si>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</si>
  <si>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</si>
  <si>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</si>
  <si>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</si>
  <si>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</si>
  <si>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</si>
  <si>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</si>
  <si>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</si>
  <si>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</si>
  <si>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</si>
  <si>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</si>
  <si>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</si>
  <si>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</si>
  <si>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</si>
  <si>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</si>
  <si>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</si>
  <si>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</si>
  <si>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</si>
  <si>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</si>
  <si>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</si>
  <si>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</si>
  <si>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</si>
  <si>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</si>
  <si>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</si>
  <si>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</si>
  <si>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</si>
  <si>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</si>
  <si>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</si>
  <si>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</si>
  <si>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</si>
  <si>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</si>
  <si>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</si>
  <si>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</si>
  <si>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</si>
  <si>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</si>
  <si>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</si>
  <si>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</si>
  <si>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</si>
  <si>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</si>
  <si>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</si>
  <si>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</si>
  <si>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</si>
  <si>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</si>
  <si>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</si>
  <si>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</si>
  <si>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</si>
  <si>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</si>
  <si>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</si>
  <si>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</si>
  <si>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</si>
  <si>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</si>
  <si>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</si>
  <si>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</si>
  <si>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</si>
  <si>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</si>
  <si>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</si>
  <si>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</si>
  <si>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</si>
  <si>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</si>
  <si>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</si>
  <si>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</si>
  <si>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</si>
  <si>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</si>
  <si>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</si>
  <si>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</si>
  <si>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</si>
  <si>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</si>
  <si>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</si>
  <si>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</si>
  <si>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</si>
  <si>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</si>
  <si>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</si>
  <si>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</si>
  <si>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</si>
  <si>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</si>
  <si>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</si>
  <si>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</si>
  <si>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</si>
  <si>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</si>
  <si>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</si>
  <si>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</si>
  <si>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</si>
  <si>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</si>
  <si>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</si>
  <si>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</si>
  <si>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</si>
  <si>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</si>
  <si>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</si>
  <si>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</si>
  <si>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</si>
  <si>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</si>
  <si>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</si>
  <si>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</si>
  <si>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</si>
  <si>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</si>
  <si>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</si>
  <si>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</si>
  <si>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</si>
  <si>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</si>
  <si>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</si>
  <si>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</si>
  <si>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</si>
  <si>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</si>
  <si>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</si>
  <si>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</si>
  <si>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</si>
  <si>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</si>
  <si>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</si>
  <si>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</si>
  <si>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</si>
  <si>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</si>
  <si>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</si>
  <si>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</si>
  <si>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</si>
  <si>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</si>
  <si>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</si>
  <si>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</si>
  <si>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</si>
  <si>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</si>
  <si>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</si>
  <si>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</si>
  <si>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</si>
  <si>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</si>
  <si>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</si>
  <si>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</si>
  <si>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</si>
  <si>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</si>
  <si>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</si>
  <si>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</si>
  <si>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</si>
  <si>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</si>
  <si>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</si>
  <si>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</si>
  <si>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</si>
  <si>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</si>
  <si>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</si>
  <si>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</si>
  <si>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</si>
  <si>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</si>
  <si>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</si>
  <si>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</si>
  <si>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</si>
  <si>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</si>
  <si>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</si>
  <si>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</si>
  <si>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</si>
  <si>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</si>
  <si>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</si>
  <si>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</si>
  <si>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</si>
  <si>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</si>
  <si>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</si>
  <si>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</si>
  <si>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</si>
  <si>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</si>
  <si>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</si>
  <si>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</si>
  <si>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</si>
  <si>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</si>
  <si>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</si>
  <si>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</si>
  <si>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</si>
  <si>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</si>
  <si>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</si>
  <si>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</si>
  <si>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</si>
  <si>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</si>
  <si>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</si>
  <si>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</si>
  <si>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</si>
  <si>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</si>
  <si>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</si>
  <si>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</si>
  <si>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</si>
  <si>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</si>
  <si>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</si>
  <si>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</si>
  <si>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</si>
  <si>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</si>
  <si>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</si>
  <si>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</si>
  <si>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</si>
  <si>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</si>
  <si>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</si>
  <si>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</si>
  <si>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</si>
  <si>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</si>
  <si>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</si>
  <si>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</si>
  <si>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</si>
  <si>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</si>
  <si>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</si>
  <si>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</si>
  <si>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</si>
  <si>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</si>
  <si>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</si>
  <si>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</si>
  <si>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</si>
  <si>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</si>
  <si>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</si>
  <si>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</si>
  <si>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</si>
  <si>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</si>
  <si>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</si>
  <si>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</si>
  <si>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</si>
  <si>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</si>
  <si>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</si>
  <si>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</si>
  <si>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</si>
  <si>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</si>
  <si>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</si>
  <si>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</si>
  <si>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</si>
  <si>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</si>
  <si>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</si>
  <si>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</si>
  <si>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</si>
  <si>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</si>
  <si>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</si>
  <si>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</si>
  <si>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</si>
  <si>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</si>
  <si>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</si>
  <si>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</si>
  <si>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</si>
  <si>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</si>
  <si>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</si>
  <si>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</si>
  <si>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</si>
  <si>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</si>
  <si>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</si>
  <si>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</si>
  <si>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</si>
  <si>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</si>
  <si>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</si>
  <si>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</si>
  <si>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</si>
  <si>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</si>
  <si>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</si>
  <si>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</si>
  <si>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</si>
  <si>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</si>
  <si>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</si>
  <si>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</si>
  <si>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</si>
  <si>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</si>
  <si>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</si>
  <si>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</si>
  <si>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</si>
  <si>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</si>
  <si>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</si>
  <si>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</si>
  <si>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</si>
  <si>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</si>
  <si>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</si>
  <si>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</si>
  <si>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</si>
  <si>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</si>
  <si>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</si>
  <si>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</si>
  <si>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</si>
  <si>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</si>
  <si>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</si>
  <si>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</si>
  <si>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</si>
  <si>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</si>
  <si>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</si>
  <si>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</si>
  <si>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</si>
  <si>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</si>
  <si>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</si>
  <si>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</si>
  <si>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</si>
  <si>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</si>
  <si>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</si>
  <si>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</si>
  <si>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</si>
  <si>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</si>
  <si>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</si>
  <si>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</si>
  <si>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</si>
  <si>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</si>
  <si>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</si>
  <si>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</si>
  <si>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</si>
  <si>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</si>
  <si>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</si>
  <si>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</si>
  <si>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</si>
  <si>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</si>
  <si>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</si>
  <si>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</si>
  <si>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</si>
  <si>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</si>
  <si>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</si>
  <si>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</si>
  <si>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</si>
  <si>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</si>
  <si>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</si>
  <si>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</si>
  <si>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</si>
  <si>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</si>
  <si>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</si>
  <si>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</si>
  <si>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</si>
  <si>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</si>
  <si>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</si>
  <si>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</si>
  <si>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</si>
  <si>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</si>
  <si>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</si>
  <si>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</si>
  <si>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</si>
  <si>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</si>
  <si>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</si>
  <si>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</si>
  <si>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</si>
  <si>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</si>
  <si>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</si>
  <si>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</si>
  <si>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</si>
  <si>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</si>
  <si>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</si>
  <si>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</si>
  <si>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</si>
  <si>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</si>
  <si>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</si>
  <si>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</si>
  <si>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</si>
  <si>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</si>
  <si>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</si>
  <si>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</si>
  <si>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</si>
  <si>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</si>
  <si>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</si>
  <si>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</si>
  <si>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</si>
  <si>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</si>
  <si>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</si>
  <si>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</si>
  <si>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</si>
  <si>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</si>
  <si>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</si>
  <si>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</si>
  <si>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</si>
  <si>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</si>
  <si>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</si>
  <si>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</si>
  <si>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</si>
  <si>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</si>
  <si>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</si>
  <si>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</si>
  <si>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</si>
  <si>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</si>
  <si>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</si>
  <si>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</si>
  <si>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</si>
  <si>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</si>
  <si>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</si>
  <si>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</si>
  <si>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</si>
  <si>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</si>
  <si>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</si>
  <si>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</si>
  <si>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</si>
  <si>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</si>
  <si>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</si>
  <si>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</si>
  <si>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</si>
  <si>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</si>
  <si>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</si>
  <si>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</si>
  <si>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</si>
  <si>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</si>
  <si>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</si>
  <si>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</si>
  <si>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</si>
  <si>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</si>
  <si>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</si>
  <si>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</si>
  <si>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</si>
  <si>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</si>
  <si>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</si>
  <si>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</si>
  <si>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</si>
  <si>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</si>
  <si>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</si>
  <si>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</si>
  <si>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</si>
  <si>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</si>
  <si>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</si>
  <si>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</si>
  <si>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</si>
  <si>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</si>
  <si>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</si>
  <si>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</si>
  <si>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</si>
  <si>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</si>
  <si>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</si>
  <si>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</si>
  <si>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</si>
  <si>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</si>
  <si>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</si>
  <si>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</si>
  <si>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</si>
  <si>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</si>
  <si>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</si>
  <si>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</si>
  <si>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</si>
  <si>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</si>
  <si>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</si>
  <si>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</si>
  <si>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</si>
  <si>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</si>
  <si>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</si>
  <si>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</si>
  <si>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</si>
  <si>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</si>
  <si>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</si>
  <si>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</si>
  <si>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</si>
  <si>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</si>
  <si>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</si>
  <si>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</si>
  <si>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</si>
  <si>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</si>
  <si>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</si>
  <si>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</si>
  <si>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</si>
  <si>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</si>
  <si>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</si>
  <si>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</si>
  <si>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</si>
  <si>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</si>
  <si>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</si>
  <si>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</si>
  <si>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</si>
  <si>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</si>
  <si>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</si>
  <si>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</si>
  <si>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</si>
  <si>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</si>
  <si>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</si>
  <si>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</si>
  <si>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</si>
  <si>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</si>
  <si>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</si>
  <si>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</si>
  <si>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</si>
  <si>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</si>
  <si>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</si>
  <si>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</si>
  <si>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</si>
  <si>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</si>
  <si>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</si>
  <si>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</si>
  <si>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</si>
  <si>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</si>
  <si>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</si>
  <si>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</si>
  <si>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</si>
  <si>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</si>
  <si>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</si>
  <si>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</si>
  <si>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</si>
  <si>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</si>
  <si>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</si>
  <si>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</si>
  <si>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</si>
  <si>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</si>
  <si>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</si>
  <si>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</si>
  <si>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</si>
  <si>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</si>
  <si>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</si>
  <si>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</si>
  <si>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</si>
  <si>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</si>
  <si>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</si>
  <si>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</si>
  <si>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</si>
  <si>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</si>
  <si>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</si>
  <si>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</si>
  <si>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</si>
  <si>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</si>
  <si>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</si>
  <si>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</si>
  <si>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</si>
  <si>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</si>
  <si>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</si>
  <si>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</si>
  <si>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</si>
  <si>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</si>
  <si>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</si>
  <si>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</si>
  <si>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</si>
  <si>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</si>
  <si>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</si>
  <si>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</si>
  <si>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</si>
  <si>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</si>
  <si>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</si>
  <si>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</si>
  <si>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</si>
  <si>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</si>
  <si>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</si>
  <si>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</si>
  <si>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</si>
  <si>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</si>
  <si>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</si>
  <si>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</si>
  <si>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</si>
  <si>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</si>
  <si>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</si>
  <si>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</si>
  <si>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</si>
  <si>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</si>
  <si>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</si>
  <si>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</si>
  <si>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</si>
  <si>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</si>
  <si>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</si>
  <si>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</si>
  <si>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</si>
  <si>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</si>
  <si>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</si>
  <si>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</si>
  <si>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</si>
  <si>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</si>
  <si>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</si>
  <si>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</si>
  <si>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</si>
  <si>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</si>
  <si>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</si>
  <si>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</si>
  <si>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</si>
  <si>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</si>
  <si>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</si>
  <si>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</si>
  <si>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</si>
  <si>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</si>
  <si>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</si>
  <si>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</si>
  <si>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</si>
  <si>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</si>
  <si>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</si>
  <si>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</si>
  <si>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</si>
  <si>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</si>
  <si>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</si>
  <si>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</si>
  <si>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</si>
  <si>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</si>
  <si>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</si>
  <si>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</si>
  <si>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</si>
  <si>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</si>
  <si>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</si>
  <si>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</si>
  <si>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</si>
  <si>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</si>
  <si>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</si>
  <si>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</si>
  <si>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</si>
  <si>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</si>
  <si>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</si>
  <si>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</si>
  <si>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</si>
  <si>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</si>
  <si>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</si>
  <si>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</si>
  <si>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</si>
  <si>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</si>
  <si>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</si>
  <si>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</si>
  <si>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</si>
  <si>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</si>
  <si>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</si>
  <si>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</si>
  <si>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</si>
  <si>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</si>
  <si>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</si>
  <si>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</si>
  <si>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</si>
  <si>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</si>
  <si>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</si>
  <si>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</si>
  <si>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</si>
  <si>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</si>
  <si>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</si>
  <si>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</si>
  <si>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</si>
  <si>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</si>
  <si>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</si>
  <si>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</si>
  <si>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</si>
  <si>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</si>
  <si>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</si>
  <si>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</si>
  <si>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</si>
  <si>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</si>
  <si>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</si>
  <si>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</si>
  <si>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</si>
  <si>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</si>
  <si>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</si>
  <si>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</si>
  <si>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</si>
  <si>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</si>
  <si>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</si>
  <si>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</si>
  <si>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</si>
  <si>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</si>
  <si>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</si>
  <si>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</si>
  <si>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</si>
  <si>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</si>
  <si>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</si>
  <si>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</si>
  <si>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</si>
  <si>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</si>
  <si>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</si>
  <si>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</si>
  <si>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</si>
  <si>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</si>
  <si>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</si>
  <si>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</si>
  <si>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</si>
  <si>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</si>
  <si>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</si>
  <si>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</si>
  <si>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</si>
  <si>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</si>
  <si>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</si>
  <si>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</si>
  <si>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</si>
  <si>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</si>
  <si>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</si>
  <si>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</si>
  <si>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</si>
  <si>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</si>
  <si>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</si>
  <si>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</si>
  <si>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</si>
  <si>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</si>
  <si>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</si>
  <si>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</si>
  <si>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</si>
  <si>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</si>
  <si>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</si>
  <si>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</si>
  <si>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</si>
  <si>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</si>
  <si>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</si>
  <si>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</si>
  <si>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</si>
  <si>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</si>
  <si>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</si>
  <si>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</si>
  <si>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</si>
  <si>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</si>
  <si>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</si>
  <si>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</si>
  <si>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</si>
  <si>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</si>
  <si>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</si>
  <si>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</si>
  <si>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</si>
  <si>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</si>
  <si>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</si>
  <si>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</si>
  <si>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</si>
  <si>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</si>
  <si>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</si>
  <si>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</si>
  <si>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</si>
  <si>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</si>
  <si>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</si>
  <si>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</si>
  <si>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</si>
  <si>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</si>
  <si>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</si>
  <si>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</si>
  <si>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</si>
  <si>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</si>
  <si>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</si>
  <si>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</si>
  <si>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</si>
  <si>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</si>
  <si>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</si>
  <si>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</si>
  <si>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</si>
  <si>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</si>
  <si>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</si>
  <si>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</si>
  <si>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</si>
  <si>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</si>
  <si>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</si>
  <si>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</si>
  <si>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</si>
  <si>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</si>
  <si>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</si>
  <si>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</si>
  <si>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</si>
  <si>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</si>
  <si>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</si>
  <si>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</si>
  <si>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</si>
  <si>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</si>
  <si>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</si>
  <si>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</si>
  <si>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</si>
  <si>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</si>
  <si>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</si>
  <si>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</si>
  <si>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</si>
  <si>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</si>
  <si>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</si>
  <si>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</si>
  <si>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</si>
  <si>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</si>
  <si>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</si>
  <si>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</si>
  <si>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</si>
  <si>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</si>
  <si>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</si>
  <si>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</si>
  <si>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</si>
  <si>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</si>
  <si>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</si>
  <si>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</si>
  <si>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</si>
  <si>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</si>
  <si>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</si>
  <si>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</si>
  <si>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</si>
  <si>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</si>
  <si>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</si>
  <si>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</si>
  <si>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</si>
  <si>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</si>
  <si>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</si>
  <si>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</si>
  <si>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</si>
  <si>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</si>
  <si>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</si>
  <si>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</si>
  <si>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</si>
  <si>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</si>
  <si>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</si>
  <si>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</si>
  <si>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</si>
  <si>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</si>
  <si>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</si>
  <si>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</si>
  <si>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</si>
  <si>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</si>
  <si>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</si>
  <si>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</si>
  <si>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</si>
  <si>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</si>
  <si>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</si>
  <si>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</si>
  <si>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</si>
  <si>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</si>
  <si>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</si>
  <si>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</si>
  <si>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</si>
  <si>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</si>
  <si>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</si>
  <si>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</si>
  <si>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</si>
  <si>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</si>
  <si>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</si>
  <si>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</si>
  <si>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</si>
  <si>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</si>
  <si>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</si>
  <si>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</si>
  <si>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</si>
  <si>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</si>
  <si>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</si>
  <si>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</si>
  <si>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</si>
  <si>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</si>
  <si>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</si>
  <si>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</si>
  <si>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</si>
  <si>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</si>
  <si>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</si>
  <si>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</si>
  <si>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</si>
  <si>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</si>
  <si>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</si>
  <si>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</si>
  <si>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</si>
  <si>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</si>
  <si>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</si>
  <si>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</si>
  <si>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</si>
  <si>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</si>
  <si>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</si>
  <si>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</si>
  <si>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</si>
  <si>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</si>
  <si>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</si>
  <si>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</si>
  <si>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</si>
  <si>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</si>
  <si>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</si>
  <si>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</si>
  <si>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</si>
  <si>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</si>
  <si>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</si>
  <si>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</si>
  <si>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</si>
  <si>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</si>
  <si>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</si>
  <si>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</si>
  <si>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</si>
  <si>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</si>
  <si>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</si>
  <si>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</si>
  <si>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</si>
  <si>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</si>
  <si>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</si>
  <si>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</si>
  <si>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</si>
  <si>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</si>
  <si>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</si>
  <si>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</si>
  <si>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</si>
  <si>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</si>
  <si>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</si>
  <si>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</si>
  <si>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</si>
  <si>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</si>
  <si>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</si>
  <si>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</si>
  <si>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</si>
  <si>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</si>
  <si>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</si>
  <si>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</si>
  <si>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</si>
  <si>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</si>
  <si>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</si>
  <si>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</si>
  <si>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</si>
  <si>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</si>
  <si>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</si>
  <si>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</si>
  <si>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</si>
  <si>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</si>
  <si>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</si>
  <si>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</si>
  <si>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</si>
  <si>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</si>
  <si>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</si>
  <si>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</si>
  <si>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</si>
  <si>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</si>
  <si>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</si>
  <si>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</si>
  <si>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</si>
  <si>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</si>
  <si>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</si>
  <si>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</si>
  <si>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</si>
  <si>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</si>
  <si>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</si>
  <si>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</si>
  <si>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</si>
  <si>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</si>
  <si>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</si>
  <si>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</si>
  <si>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</si>
  <si>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</si>
  <si>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</si>
  <si>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</si>
  <si>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</si>
  <si>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</si>
  <si>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</si>
  <si>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</si>
  <si>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</si>
  <si>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</si>
  <si>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</si>
  <si>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</si>
  <si>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</si>
  <si>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</si>
  <si>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</si>
  <si>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</si>
  <si>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</si>
  <si>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</si>
  <si>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</si>
  <si>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</si>
  <si>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</si>
  <si>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</si>
  <si>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</si>
  <si>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</si>
  <si>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</si>
  <si>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</si>
  <si>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</si>
  <si>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</si>
  <si>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</si>
  <si>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</si>
  <si>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</si>
  <si>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</si>
  <si>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</si>
  <si>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</si>
  <si>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</si>
  <si>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</si>
  <si>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</si>
  <si>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</si>
  <si>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</si>
  <si>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</si>
  <si>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</si>
  <si>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</si>
  <si>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</si>
  <si>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</si>
  <si>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</si>
  <si>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</si>
  <si>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</si>
  <si>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</si>
  <si>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</si>
  <si>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</si>
  <si>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</si>
  <si>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</si>
  <si>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</si>
  <si>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</si>
  <si>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</si>
  <si>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</si>
  <si>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</si>
  <si>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</si>
  <si>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</si>
  <si>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</si>
  <si>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</si>
  <si>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</si>
  <si>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</si>
  <si>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</si>
  <si>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</si>
  <si>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</si>
  <si>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</si>
  <si>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</si>
  <si>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</si>
  <si>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</si>
  <si>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</si>
  <si>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</si>
  <si>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</si>
  <si>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</si>
  <si>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</si>
  <si>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</si>
  <si>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</si>
  <si>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</si>
  <si>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</si>
  <si>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</si>
  <si>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</si>
  <si>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</si>
  <si>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</si>
  <si>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</si>
  <si>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</si>
  <si>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</si>
  <si>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</si>
  <si>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</si>
  <si>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</si>
  <si>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</si>
  <si>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</si>
  <si>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</si>
  <si>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</si>
  <si>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</si>
  <si>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</si>
  <si>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</si>
  <si>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</si>
  <si>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</si>
  <si>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</si>
  <si>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</si>
  <si>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</si>
  <si>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</si>
  <si>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</si>
  <si>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</si>
  <si>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</si>
  <si>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</si>
  <si>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</si>
  <si>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</si>
  <si>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</si>
  <si>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</si>
  <si>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</si>
  <si>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</si>
  <si>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</si>
  <si>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</si>
  <si>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</si>
  <si>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</si>
  <si>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</si>
  <si>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</si>
  <si>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</si>
  <si>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</si>
  <si>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</si>
  <si>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</si>
  <si>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</si>
  <si>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</si>
  <si>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</si>
  <si>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</si>
  <si>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</si>
  <si>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</si>
  <si>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</si>
  <si>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</si>
  <si>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</si>
  <si>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</si>
  <si>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</si>
  <si>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</si>
  <si>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</si>
  <si>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</si>
  <si>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</si>
  <si>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</si>
  <si>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</si>
  <si>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</si>
  <si>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</si>
  <si>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</si>
  <si>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</si>
  <si>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</si>
  <si>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</si>
  <si>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</si>
  <si>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</si>
  <si>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</si>
  <si>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</si>
  <si>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</si>
  <si>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</si>
  <si>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</si>
  <si>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</si>
  <si>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</si>
  <si>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</si>
  <si>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</si>
  <si>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</si>
  <si>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</si>
  <si>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</si>
  <si>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</si>
  <si>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</si>
  <si>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</si>
  <si>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</si>
  <si>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</si>
  <si>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</si>
  <si>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</si>
  <si>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</si>
  <si>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</si>
  <si>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</si>
  <si>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</si>
  <si>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</si>
  <si>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</si>
  <si>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</si>
  <si>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</si>
  <si>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</si>
  <si>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</si>
  <si>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</si>
  <si>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</si>
  <si>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</si>
  <si>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</si>
  <si>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</si>
  <si>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</si>
  <si>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</si>
  <si>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</si>
  <si>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</si>
  <si>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</si>
  <si>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</si>
  <si>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</si>
  <si>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</si>
  <si>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</si>
  <si>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</si>
  <si>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</si>
  <si>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</si>
  <si>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</si>
  <si>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</si>
  <si>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</si>
  <si>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</si>
  <si>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</si>
  <si>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</si>
  <si>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</si>
  <si>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</si>
  <si>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</si>
  <si>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</si>
  <si>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</si>
  <si>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</si>
  <si>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</si>
  <si>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</si>
  <si>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</si>
  <si>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</si>
  <si>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</si>
  <si>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</si>
  <si>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</si>
  <si>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</si>
  <si>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</si>
  <si>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</si>
  <si>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</si>
  <si>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</si>
  <si>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</si>
  <si>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</si>
  <si>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</si>
  <si>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</si>
  <si>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</si>
  <si>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</si>
  <si>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</si>
  <si>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</si>
  <si>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</si>
  <si>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</si>
  <si>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</si>
  <si>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</si>
  <si>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</si>
  <si>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</si>
  <si>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</si>
  <si>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</si>
  <si>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</si>
  <si>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</si>
  <si>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</si>
  <si>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</si>
  <si>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</si>
  <si>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</si>
  <si>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</si>
  <si>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</si>
  <si>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</si>
  <si>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</si>
  <si>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</si>
  <si>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</si>
  <si>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</si>
  <si>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</si>
  <si>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</si>
  <si>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</si>
  <si>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</si>
  <si>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</si>
  <si>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</si>
  <si>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</si>
  <si>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</si>
  <si>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</si>
  <si>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</si>
  <si>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</si>
  <si>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</si>
  <si>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</si>
  <si>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</si>
  <si>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</si>
  <si>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</si>
  <si>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</si>
  <si>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</si>
  <si>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</si>
  <si>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</si>
  <si>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</si>
  <si>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</si>
  <si>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</si>
  <si>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</si>
  <si>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</si>
  <si>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</si>
  <si>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</si>
  <si>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</si>
  <si>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</si>
  <si>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</si>
  <si>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</si>
  <si>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</si>
  <si>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</si>
  <si>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</si>
  <si>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</si>
  <si>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</si>
  <si>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</si>
  <si>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</si>
  <si>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</si>
  <si>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</si>
  <si>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</si>
  <si>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</si>
  <si>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</si>
  <si>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</si>
  <si>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</si>
  <si>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</si>
  <si>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</si>
  <si>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</si>
  <si>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</si>
  <si>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</si>
  <si>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</si>
  <si>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</si>
  <si>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</si>
  <si>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</si>
  <si>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</si>
  <si>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</si>
  <si>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</si>
  <si>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</si>
  <si>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</si>
  <si>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</si>
  <si>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</si>
  <si>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</si>
  <si>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</si>
  <si>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</si>
  <si>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</si>
  <si>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</si>
  <si>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</si>
  <si>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</si>
  <si>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</si>
  <si>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</si>
  <si>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</si>
  <si>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</si>
  <si>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</si>
  <si>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</si>
  <si>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</si>
  <si>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</si>
  <si>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</si>
  <si>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</si>
  <si>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</si>
  <si>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</si>
  <si>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</si>
  <si>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</si>
  <si>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</si>
  <si>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</si>
  <si>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</si>
  <si>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</si>
  <si>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</si>
  <si>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</si>
  <si>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</si>
  <si>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</si>
  <si>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</si>
  <si>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</si>
  <si>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</si>
  <si>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</si>
  <si>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</si>
  <si>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</si>
  <si>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</si>
  <si>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</si>
  <si>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</si>
  <si>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</si>
  <si>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</si>
  <si>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</si>
  <si>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</si>
  <si>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</si>
  <si>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</si>
  <si>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</si>
  <si>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</si>
  <si>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</si>
  <si>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</si>
  <si>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</si>
  <si>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</si>
  <si>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</si>
  <si>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</si>
  <si>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</si>
  <si>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</si>
  <si>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</si>
  <si>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</si>
  <si>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</si>
  <si>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</si>
  <si>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</si>
  <si>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</si>
  <si>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</si>
  <si>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</si>
  <si>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</si>
  <si>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</si>
  <si>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</si>
  <si>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</si>
  <si>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</si>
  <si>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</si>
  <si>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</si>
  <si>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</si>
  <si>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</si>
  <si>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</si>
  <si>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</si>
  <si>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</si>
  <si>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</si>
  <si>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</si>
  <si>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</si>
  <si>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</si>
  <si>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</si>
  <si>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</si>
  <si>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</si>
  <si>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</si>
  <si>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</si>
  <si>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</si>
  <si>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</si>
  <si>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</si>
  <si>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</si>
  <si>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</si>
  <si>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</si>
  <si>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</si>
  <si>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</si>
  <si>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</si>
  <si>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</si>
  <si>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</si>
  <si>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</si>
  <si>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</si>
  <si>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</si>
  <si>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</si>
  <si>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</si>
  <si>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</si>
  <si>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</si>
  <si>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</si>
  <si>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</si>
  <si>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</si>
  <si>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</si>
  <si>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</si>
  <si>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</si>
  <si>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</si>
  <si>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</si>
  <si>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</si>
  <si>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</si>
  <si>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</si>
  <si>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</si>
  <si>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</si>
  <si>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</si>
  <si>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</si>
  <si>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</si>
  <si>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</si>
  <si>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</si>
  <si>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</si>
  <si>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</si>
  <si>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</si>
  <si>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</si>
  <si>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</si>
  <si>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</si>
  <si>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</si>
  <si>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</si>
  <si>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</si>
  <si>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</si>
  <si>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</si>
  <si>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</si>
  <si>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</si>
  <si>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</si>
  <si>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</si>
  <si>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</si>
  <si>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</si>
  <si>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</si>
  <si>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</si>
  <si>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</si>
  <si>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</si>
  <si>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</si>
  <si>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</si>
  <si>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</si>
  <si>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</si>
  <si>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</si>
  <si>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</si>
  <si>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</si>
  <si>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</si>
  <si>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</si>
  <si>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</si>
  <si>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</si>
  <si>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</si>
  <si>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</si>
  <si>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</si>
  <si>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</si>
  <si>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</si>
  <si>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</si>
  <si>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</si>
  <si>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</si>
  <si>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</si>
  <si>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</si>
  <si>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</si>
  <si>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</si>
  <si>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</si>
  <si>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</si>
  <si>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</si>
  <si>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</si>
  <si>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</si>
  <si>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</si>
  <si>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</si>
  <si>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</si>
  <si>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</si>
  <si>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</si>
  <si>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</si>
  <si>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</si>
  <si>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</si>
  <si>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</si>
  <si>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</si>
  <si>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</si>
  <si>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</si>
  <si>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</si>
  <si>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</si>
  <si>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</si>
  <si>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</si>
  <si>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</si>
  <si>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</si>
  <si>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</si>
  <si>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</si>
  <si>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</si>
  <si>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</si>
  <si>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</si>
  <si>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</si>
  <si>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</si>
  <si>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</si>
  <si>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</si>
  <si>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</si>
  <si>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</si>
  <si>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</si>
  <si>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</si>
  <si>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</si>
  <si>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</si>
  <si>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</si>
  <si>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</si>
  <si>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</si>
  <si>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</si>
  <si>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</si>
  <si>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</si>
  <si>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</si>
  <si>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</si>
  <si>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</si>
  <si>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</si>
  <si>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</si>
  <si>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</si>
  <si>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</si>
  <si>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</si>
  <si>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</si>
  <si>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</si>
  <si>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</si>
  <si>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</si>
  <si>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</si>
  <si>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</si>
  <si>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</si>
  <si>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</si>
  <si>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</si>
  <si>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</si>
  <si>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</si>
  <si>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</si>
  <si>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</si>
  <si>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</si>
  <si>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</si>
  <si>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</si>
  <si>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</si>
  <si>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</si>
  <si>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</si>
  <si>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</si>
  <si>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</si>
  <si>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</si>
  <si>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</si>
  <si>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</si>
  <si>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</si>
  <si>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</si>
  <si>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</si>
  <si>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</si>
  <si>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</si>
  <si>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</si>
  <si>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</si>
  <si>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</si>
  <si>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</si>
  <si>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</si>
  <si>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</si>
  <si>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</si>
  <si>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</si>
  <si>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</si>
  <si>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</si>
  <si>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</si>
  <si>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</si>
  <si>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</si>
  <si>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</si>
  <si>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</si>
  <si>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</si>
  <si>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</si>
  <si>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</si>
  <si>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</si>
  <si>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</si>
  <si>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</si>
  <si>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</si>
  <si>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</si>
  <si>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</si>
  <si>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</si>
  <si>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</si>
  <si>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</si>
  <si>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</si>
  <si>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</si>
  <si>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</si>
  <si>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</si>
  <si>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</si>
  <si>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</si>
  <si>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</si>
  <si>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</si>
  <si>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</si>
  <si>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</si>
  <si>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</si>
  <si>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</si>
  <si>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</si>
  <si>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</si>
  <si>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</si>
  <si>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</si>
  <si>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</si>
  <si>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</si>
  <si>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</si>
  <si>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</si>
  <si>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</si>
  <si>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</si>
  <si>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</si>
  <si>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</si>
  <si>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</si>
  <si>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</si>
  <si>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</si>
  <si>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</si>
  <si>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</si>
  <si>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</si>
  <si>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</si>
  <si>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</si>
  <si>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</si>
  <si>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</si>
  <si>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</si>
  <si>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</si>
  <si>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</si>
  <si>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</si>
  <si>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</si>
  <si>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</si>
  <si>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</si>
  <si>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</si>
  <si>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</si>
  <si>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</si>
  <si>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</si>
  <si>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</si>
  <si>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</si>
  <si>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</si>
  <si>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</si>
  <si>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</si>
  <si>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</si>
  <si>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</si>
  <si>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</si>
  <si>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</si>
  <si>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</si>
  <si>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</si>
  <si>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</si>
  <si>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</si>
  <si>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</si>
  <si>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</si>
  <si>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</si>
  <si>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</si>
  <si>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</si>
  <si>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</si>
  <si>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</si>
  <si>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</si>
  <si>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</si>
  <si>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</si>
  <si>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</si>
  <si>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</si>
  <si>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</si>
  <si>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</si>
  <si>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</si>
  <si>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</si>
  <si>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</si>
  <si>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</si>
  <si>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</si>
  <si>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</si>
  <si>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</si>
  <si>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</si>
  <si>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</si>
  <si>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</si>
  <si>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</si>
  <si>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</si>
  <si>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</si>
  <si>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</si>
  <si>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</si>
  <si>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</si>
  <si>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</si>
  <si>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</si>
  <si>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</si>
  <si>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</si>
  <si>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</si>
  <si>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</si>
  <si>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</si>
  <si>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</si>
  <si>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</si>
  <si>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</si>
  <si>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</si>
  <si>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</si>
  <si>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</si>
  <si>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</si>
  <si>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</si>
  <si>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</si>
  <si>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</si>
  <si>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</si>
  <si>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</si>
  <si>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</si>
  <si>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</si>
  <si>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</si>
  <si>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</si>
  <si>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</si>
  <si>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</si>
  <si>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</si>
  <si>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</si>
  <si>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</si>
  <si>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</si>
  <si>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</si>
  <si>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</si>
  <si>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</si>
  <si>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</si>
  <si>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</si>
  <si>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</si>
  <si>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</si>
  <si>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</si>
  <si>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</si>
  <si>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</si>
  <si>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</si>
  <si>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</si>
  <si>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</si>
  <si>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</si>
  <si>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</si>
  <si>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</si>
  <si>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</si>
  <si>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</si>
  <si>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</si>
  <si>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</si>
  <si>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</si>
  <si>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</si>
  <si>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</si>
  <si>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</si>
  <si>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</si>
  <si>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</si>
  <si>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</si>
  <si>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</si>
  <si>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</si>
  <si>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</si>
  <si>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</si>
  <si>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</si>
  <si>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</si>
  <si>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</si>
  <si>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</si>
  <si>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</si>
  <si>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</si>
  <si>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</si>
  <si>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</si>
  <si>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</si>
  <si>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</si>
  <si>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</si>
  <si>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</si>
  <si>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</si>
  <si>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</si>
  <si>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</si>
  <si>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</si>
  <si>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</si>
  <si>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</si>
  <si>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</si>
  <si>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</si>
  <si>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</si>
  <si>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</si>
  <si>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</si>
  <si>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</si>
  <si>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</si>
  <si>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</si>
  <si>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</si>
  <si>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</si>
  <si>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</si>
  <si>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</si>
  <si>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</si>
  <si>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</si>
  <si>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</si>
  <si>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</si>
  <si>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</si>
  <si>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</si>
  <si>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</si>
  <si>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</si>
  <si>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</si>
  <si>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</si>
  <si>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</si>
  <si>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</si>
  <si>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</si>
  <si>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</si>
  <si>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</si>
  <si>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</si>
  <si>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</si>
  <si>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</si>
  <si>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</si>
  <si>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</si>
  <si>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</si>
  <si>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</si>
  <si>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</si>
  <si>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</si>
  <si>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</si>
  <si>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</si>
  <si>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</si>
  <si>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</si>
  <si>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</si>
  <si>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</si>
  <si>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</si>
  <si>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</si>
  <si>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</si>
  <si>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</si>
  <si>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</si>
  <si>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</si>
  <si>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</si>
  <si>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</si>
  <si>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</si>
  <si>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</si>
  <si>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</si>
  <si>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</si>
  <si>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</si>
  <si>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</si>
  <si>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</si>
  <si>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</si>
  <si>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</si>
  <si>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</si>
  <si>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</si>
  <si>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</si>
  <si>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</si>
  <si>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</si>
  <si>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</si>
  <si>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</si>
  <si>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</si>
  <si>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</si>
  <si>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</si>
  <si>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</si>
  <si>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</si>
  <si>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</si>
  <si>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</si>
  <si>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</si>
  <si>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</si>
  <si>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</si>
  <si>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</si>
  <si>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</si>
  <si>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</si>
  <si>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</si>
  <si>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</si>
  <si>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</si>
  <si>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</si>
  <si>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</si>
  <si>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</si>
  <si>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</si>
  <si>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</si>
  <si>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</si>
  <si>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</si>
  <si>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</si>
  <si>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</si>
  <si>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</si>
  <si>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</si>
  <si>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</si>
  <si>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</si>
  <si>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</si>
  <si>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</si>
  <si>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</si>
  <si>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</si>
  <si>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</si>
  <si>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</si>
  <si>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</si>
  <si>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</si>
  <si>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</si>
  <si>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</si>
  <si>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</si>
  <si>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</si>
  <si>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</si>
  <si>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</si>
  <si>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</si>
  <si>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</si>
  <si>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</si>
  <si>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</si>
  <si>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</si>
  <si>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</si>
  <si>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</si>
  <si>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</si>
  <si>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</si>
  <si>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</si>
  <si>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</si>
  <si>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</si>
  <si>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</si>
  <si>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</si>
  <si>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</si>
  <si>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</si>
  <si>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</si>
  <si>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</si>
  <si>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</si>
  <si>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</si>
  <si>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</si>
  <si>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</si>
  <si>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</si>
  <si>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</si>
  <si>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</si>
  <si>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</si>
  <si>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</si>
  <si>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</si>
  <si>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</si>
  <si>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</si>
  <si>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</si>
  <si>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</si>
  <si>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</si>
  <si>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</si>
  <si>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</si>
  <si>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</si>
  <si>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</si>
  <si>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</si>
  <si>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</si>
  <si>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</si>
  <si>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</si>
  <si>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</si>
  <si>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</si>
  <si>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</si>
  <si>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</si>
  <si>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</si>
  <si>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</si>
  <si>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</si>
  <si>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</si>
  <si>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</si>
  <si>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</si>
  <si>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</si>
  <si>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</si>
  <si>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</si>
  <si>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</si>
  <si>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</si>
  <si>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</si>
  <si>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</si>
  <si>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</si>
  <si>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</si>
  <si>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</si>
  <si>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</si>
  <si>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</si>
  <si>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</si>
  <si>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</si>
  <si>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</si>
  <si>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</si>
  <si>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</si>
  <si>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</si>
  <si>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</si>
  <si>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</si>
  <si>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</si>
  <si>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</si>
  <si>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</si>
  <si>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</si>
  <si>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</si>
  <si>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</si>
  <si>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</si>
  <si>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</si>
  <si>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</si>
  <si>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</si>
  <si>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</si>
  <si>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</si>
  <si>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</si>
  <si>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</si>
  <si>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</si>
  <si>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</si>
  <si>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</si>
  <si>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</si>
  <si>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</si>
  <si>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</si>
  <si>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</si>
  <si>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</si>
  <si>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</si>
  <si>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</si>
  <si>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</si>
  <si>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</si>
  <si>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</si>
  <si>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</si>
  <si>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</si>
  <si>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</si>
  <si>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</si>
  <si>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</si>
  <si>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</si>
  <si>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</si>
  <si>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</si>
  <si>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</si>
  <si>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</si>
  <si>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</si>
  <si>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</si>
  <si>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</si>
  <si>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</si>
  <si>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</si>
  <si>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</si>
  <si>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</si>
  <si>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</si>
  <si>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</si>
  <si>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</si>
  <si>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</si>
  <si>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</si>
  <si>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</si>
  <si>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</si>
  <si>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</si>
  <si>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</si>
  <si>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</si>
  <si>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</si>
  <si>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</si>
  <si>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</si>
  <si>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</si>
  <si>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</si>
  <si>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</si>
  <si>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</si>
  <si>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</si>
  <si>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</si>
  <si>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</si>
  <si>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</si>
  <si>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</si>
  <si>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</si>
  <si>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</si>
  <si>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</si>
  <si>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</si>
  <si>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</si>
  <si>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</si>
  <si>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</si>
  <si>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</si>
  <si>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</si>
  <si>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</si>
  <si>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</si>
  <si>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</si>
  <si>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</si>
  <si>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</si>
  <si>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</si>
  <si>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</si>
  <si>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</si>
  <si>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</si>
  <si>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</si>
  <si>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</si>
  <si>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</si>
  <si>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</si>
  <si>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</si>
  <si>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</si>
  <si>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</si>
  <si>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</si>
  <si>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</si>
  <si>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</si>
  <si>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</si>
  <si>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</si>
  <si>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</si>
  <si>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</si>
  <si>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</si>
  <si>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</si>
  <si>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</si>
  <si>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</si>
  <si>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</si>
  <si>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</si>
  <si>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</si>
  <si>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</si>
  <si>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</si>
  <si>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</si>
  <si>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</si>
  <si>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</si>
  <si>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</si>
  <si>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</si>
  <si>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</si>
  <si>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</si>
  <si>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</si>
  <si>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</si>
  <si>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</si>
  <si>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</si>
  <si>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</si>
  <si>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</si>
  <si>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</si>
  <si>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</si>
  <si>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</si>
  <si>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</si>
  <si>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</si>
  <si>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</si>
  <si>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</si>
  <si>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</si>
  <si>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</si>
  <si>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</si>
  <si>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</si>
  <si>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</si>
  <si>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</si>
  <si>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</si>
  <si>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</si>
  <si>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</si>
  <si>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</si>
  <si>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</si>
  <si>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</si>
  <si>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</si>
  <si>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</si>
  <si>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</si>
  <si>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</si>
  <si>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</si>
  <si>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</si>
  <si>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</si>
  <si>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</si>
  <si>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</si>
  <si>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</si>
  <si>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</si>
  <si>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</si>
  <si>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</si>
  <si>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</si>
  <si>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</si>
  <si>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</si>
  <si>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</si>
  <si>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</si>
  <si>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</si>
  <si>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</si>
  <si>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</si>
  <si>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</si>
  <si>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</si>
  <si>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</si>
  <si>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</si>
  <si>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</si>
  <si>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</si>
  <si>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</si>
  <si>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</si>
  <si>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</si>
  <si>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</si>
  <si>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</si>
  <si>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</si>
  <si>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</si>
  <si>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</si>
  <si>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</si>
  <si>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</si>
  <si>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</si>
  <si>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</si>
  <si>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</si>
  <si>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</si>
  <si>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</si>
  <si>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</si>
  <si>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</si>
  <si>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</si>
  <si>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</si>
  <si>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</si>
  <si>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</si>
  <si>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</si>
  <si>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</si>
  <si>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</si>
  <si>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</si>
  <si>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</si>
  <si>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</si>
  <si>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</si>
  <si>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</si>
  <si>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</si>
  <si>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</si>
  <si>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</si>
  <si>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</si>
  <si>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</si>
  <si>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</si>
  <si>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</si>
  <si>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</si>
  <si>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</si>
  <si>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</si>
  <si>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</si>
  <si>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</si>
  <si>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</si>
  <si>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</si>
  <si>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</si>
  <si>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</si>
  <si>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</si>
  <si>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</si>
  <si>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</si>
  <si>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</si>
  <si>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</si>
  <si>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</si>
  <si>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</si>
  <si>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</si>
  <si>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</si>
  <si>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</si>
  <si>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</si>
  <si>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</si>
  <si>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</si>
  <si>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</si>
  <si>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</si>
  <si>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</si>
  <si>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</si>
  <si>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</si>
  <si>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</si>
  <si>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</si>
  <si>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</si>
  <si>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</si>
  <si>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</si>
  <si>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</si>
  <si>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</si>
  <si>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</si>
  <si>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</si>
  <si>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</si>
  <si>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</si>
  <si>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</si>
  <si>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</si>
  <si>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</si>
  <si>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</si>
  <si>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</si>
  <si>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</si>
  <si>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</si>
  <si>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</si>
  <si>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</si>
  <si>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</si>
  <si>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</si>
  <si>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</si>
  <si>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</si>
  <si>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</si>
  <si>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</si>
  <si>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</si>
  <si>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</si>
  <si>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</si>
  <si>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</si>
  <si>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</si>
  <si>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</si>
  <si>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</si>
  <si>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</si>
  <si>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</si>
  <si>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</si>
  <si>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</si>
  <si>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</si>
  <si>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</si>
  <si>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</si>
  <si>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</si>
  <si>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</si>
  <si>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</si>
  <si>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</si>
  <si>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</si>
  <si>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</si>
  <si>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</si>
  <si>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</si>
  <si>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</si>
  <si>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</si>
  <si>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</si>
  <si>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</si>
  <si>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</si>
  <si>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</si>
  <si>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</si>
  <si>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</si>
  <si>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</si>
  <si>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</si>
  <si>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</si>
  <si>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</si>
  <si>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</si>
  <si>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</si>
  <si>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</si>
  <si>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</si>
  <si>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</si>
  <si>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</si>
  <si>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</si>
  <si>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</si>
  <si>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</si>
  <si>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</si>
  <si>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</si>
  <si>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</si>
  <si>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</si>
  <si>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</si>
  <si>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</si>
  <si>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</si>
  <si>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</si>
  <si>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</si>
  <si>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</si>
  <si>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</si>
  <si>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</si>
  <si>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</si>
  <si>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</si>
  <si>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</si>
  <si>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</si>
  <si>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</si>
  <si>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</si>
  <si>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</si>
  <si>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</si>
  <si>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</si>
  <si>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</si>
  <si>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</si>
  <si>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</si>
  <si>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</si>
  <si>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</si>
  <si>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</si>
  <si>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</si>
  <si>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</si>
  <si>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</si>
  <si>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</si>
  <si>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</si>
  <si>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</si>
  <si>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</si>
  <si>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</si>
  <si>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</si>
  <si>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</si>
  <si>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</si>
  <si>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</si>
  <si>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</si>
  <si>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</si>
  <si>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</si>
  <si>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</si>
  <si>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</si>
  <si>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</si>
  <si>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</si>
  <si>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</si>
  <si>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</si>
  <si>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</si>
  <si>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</si>
  <si>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</si>
  <si>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</si>
  <si>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</si>
  <si>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</si>
  <si>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</si>
  <si>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</si>
  <si>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</si>
  <si>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</si>
  <si>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</si>
  <si>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</si>
  <si>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</si>
  <si>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</si>
  <si>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</si>
  <si>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</si>
  <si>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</si>
  <si>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</si>
  <si>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</si>
  <si>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</si>
  <si>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</si>
  <si>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</si>
  <si>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</si>
  <si>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</si>
  <si>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</si>
  <si>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</si>
  <si>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</si>
  <si>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</si>
  <si>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</si>
  <si>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</si>
  <si>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</si>
  <si>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</si>
  <si>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</si>
  <si>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</si>
  <si>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</si>
  <si>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</si>
  <si>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</si>
  <si>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</si>
  <si>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</si>
  <si>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</si>
  <si>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</si>
  <si>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</si>
  <si>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</si>
  <si>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</si>
  <si>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</si>
  <si>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</si>
  <si>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</si>
  <si>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</si>
  <si>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</si>
  <si>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</si>
  <si>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</si>
  <si>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</si>
  <si>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</si>
  <si>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</si>
  <si>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</si>
  <si>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</si>
  <si>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</si>
  <si>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</si>
  <si>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</si>
  <si>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</si>
  <si>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</si>
  <si>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</si>
  <si>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</si>
  <si>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</si>
  <si>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</si>
  <si>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</si>
  <si>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</si>
  <si>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</si>
  <si>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</si>
  <si>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</si>
  <si>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</si>
  <si>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</si>
  <si>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</si>
  <si>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</si>
  <si>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</si>
  <si>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</si>
  <si>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</si>
  <si>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</si>
  <si>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</si>
  <si>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</si>
  <si>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</si>
  <si>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</si>
  <si>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</si>
  <si>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</si>
  <si>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</si>
  <si>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</si>
  <si>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</si>
  <si>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</si>
  <si>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</si>
  <si>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</si>
  <si>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</si>
  <si>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</si>
  <si>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</si>
  <si>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</si>
  <si>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</si>
  <si>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</si>
  <si>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</si>
  <si>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</si>
  <si>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</si>
  <si>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</si>
  <si>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</si>
  <si>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</si>
  <si>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</si>
  <si>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</si>
  <si>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</si>
  <si>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</si>
  <si>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</si>
  <si>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</si>
  <si>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</si>
  <si>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</si>
  <si>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</si>
  <si>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</si>
  <si>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</si>
  <si>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</si>
  <si>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</si>
  <si>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</si>
  <si>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</si>
  <si>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</si>
  <si>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</si>
  <si>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</si>
  <si>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</si>
  <si>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</si>
  <si>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</si>
  <si>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</si>
  <si>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</si>
  <si>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</si>
  <si>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</si>
  <si>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</si>
  <si>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</si>
  <si>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</si>
  <si>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</si>
  <si>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</si>
  <si>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</si>
  <si>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</si>
  <si>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</si>
  <si>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</si>
  <si>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</si>
  <si>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</si>
  <si>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</si>
  <si>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</si>
  <si>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</si>
  <si>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</si>
  <si>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</si>
  <si>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</si>
  <si>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</si>
  <si>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</si>
  <si>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</si>
  <si>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</si>
  <si>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</si>
  <si>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</si>
  <si>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</si>
  <si>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</si>
  <si>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</si>
  <si>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</si>
  <si>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</si>
  <si>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</si>
  <si>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</si>
  <si>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</si>
  <si>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</si>
  <si>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</si>
  <si>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</si>
  <si>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</si>
  <si>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</si>
  <si>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</si>
  <si>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</si>
  <si>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</si>
  <si>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</si>
  <si>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</si>
  <si>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</si>
  <si>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</si>
  <si>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</si>
  <si>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</si>
  <si>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</si>
  <si>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</si>
  <si>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</si>
  <si>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</si>
  <si>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</si>
  <si>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</si>
  <si>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</si>
  <si>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</si>
  <si>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</si>
  <si>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</si>
  <si>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</si>
  <si>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</si>
  <si>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</si>
  <si>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</si>
  <si>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</si>
  <si>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</si>
  <si>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</si>
  <si>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</si>
  <si>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</si>
  <si>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</si>
  <si>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</si>
  <si>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</si>
  <si>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</si>
  <si>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</si>
  <si>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</si>
  <si>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</si>
  <si>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</si>
  <si>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</si>
  <si>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</si>
  <si>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</si>
  <si>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</si>
  <si>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</si>
  <si>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</si>
  <si>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</si>
  <si>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</si>
  <si>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</si>
  <si>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</si>
  <si>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</si>
  <si>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</si>
  <si>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</si>
  <si>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</si>
  <si>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</si>
  <si>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</si>
  <si>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</si>
  <si>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</si>
  <si>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</si>
  <si>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</si>
  <si>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</si>
  <si>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</si>
  <si>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</si>
  <si>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</si>
  <si>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</si>
  <si>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</si>
  <si>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</si>
  <si>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</si>
  <si>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</si>
  <si>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</si>
  <si>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</si>
  <si>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</si>
  <si>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</si>
  <si>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</si>
  <si>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</si>
  <si>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</si>
  <si>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</si>
  <si>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</si>
  <si>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</si>
  <si>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</si>
  <si>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</si>
  <si>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</si>
  <si>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</si>
  <si>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</si>
  <si>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</si>
  <si>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</si>
  <si>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</si>
  <si>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</si>
  <si>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</si>
  <si>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</si>
  <si>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</si>
  <si>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</si>
  <si>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</si>
  <si>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</si>
  <si>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</si>
  <si>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</si>
  <si>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</si>
  <si>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</si>
  <si>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</si>
  <si>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</si>
  <si>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</si>
  <si>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</si>
  <si>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</si>
  <si>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</si>
  <si>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</si>
  <si>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</si>
  <si>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</si>
  <si>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</si>
  <si>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</si>
  <si>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</si>
  <si>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</si>
  <si>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</si>
  <si>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</si>
  <si>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</si>
  <si>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</si>
  <si>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</si>
  <si>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</si>
  <si>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</si>
  <si>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</si>
  <si>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</si>
  <si>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</si>
  <si>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</si>
  <si>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</si>
  <si>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</si>
  <si>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</si>
  <si>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</si>
  <si>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</si>
  <si>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</si>
  <si>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</si>
  <si>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</si>
  <si>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</si>
  <si>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</si>
  <si>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</si>
  <si>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</si>
  <si>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</si>
  <si>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</si>
  <si>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</si>
  <si>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</si>
  <si>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</si>
  <si>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</si>
  <si>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</si>
  <si>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</si>
  <si>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</si>
  <si>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</si>
  <si>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</si>
  <si>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</si>
  <si>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</si>
  <si>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</si>
  <si>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</si>
  <si>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</si>
  <si>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</si>
  <si>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</si>
  <si>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</si>
  <si>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</si>
  <si>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</si>
  <si>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</si>
  <si>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</si>
  <si>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</si>
  <si>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</si>
  <si>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</si>
  <si>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</si>
  <si>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</si>
  <si>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</si>
  <si>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</si>
  <si>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</si>
  <si>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</si>
  <si>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</si>
  <si>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</si>
  <si>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</si>
  <si>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</si>
  <si>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</si>
  <si>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</si>
  <si>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</si>
  <si>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</si>
  <si>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</si>
  <si>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</si>
  <si>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</si>
  <si>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</si>
  <si>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</si>
  <si>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</si>
  <si>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</si>
  <si>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</si>
  <si>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</si>
  <si>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</si>
  <si>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</si>
  <si>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</si>
  <si>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</si>
  <si>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</si>
  <si>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</si>
  <si>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</si>
  <si>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</si>
  <si>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</si>
  <si>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</si>
  <si>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</si>
  <si>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</si>
  <si>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</si>
  <si>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</si>
  <si>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</si>
  <si>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</si>
  <si>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</si>
  <si>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</si>
  <si>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</si>
  <si>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</si>
  <si>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</si>
  <si>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</si>
  <si>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</si>
  <si>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</si>
  <si>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</si>
  <si>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</si>
  <si>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</si>
  <si>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</si>
  <si>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</si>
  <si>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</si>
  <si>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</si>
  <si>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</si>
  <si>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</si>
  <si>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</si>
  <si>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</si>
  <si>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</si>
  <si>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</si>
  <si>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</si>
  <si>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</si>
  <si>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</si>
  <si>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</si>
  <si>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</si>
  <si>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</si>
  <si>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</si>
  <si>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</si>
  <si>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</si>
  <si>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</si>
  <si>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</si>
  <si>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</si>
  <si>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</si>
  <si>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</si>
  <si>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</si>
  <si>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</si>
  <si>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</si>
  <si>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</si>
  <si>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</si>
  <si>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</si>
  <si>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</si>
  <si>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</si>
  <si>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</si>
  <si>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</si>
  <si>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</si>
  <si>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</si>
  <si>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</si>
  <si>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</si>
  <si>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</si>
  <si>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</si>
  <si>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</si>
  <si>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</si>
  <si>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</si>
  <si>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</si>
  <si>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</si>
  <si>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</si>
  <si>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</si>
  <si>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</si>
  <si>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</si>
  <si>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</si>
  <si>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</si>
  <si>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</si>
  <si>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</si>
  <si>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</si>
  <si>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</si>
  <si>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</si>
  <si>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</si>
  <si>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</si>
  <si>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</si>
  <si>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</si>
  <si>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</si>
  <si>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</si>
  <si>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</si>
  <si>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</si>
  <si>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</si>
  <si>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</si>
  <si>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</si>
  <si>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</si>
  <si>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</si>
  <si>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</si>
  <si>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</si>
  <si>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</si>
  <si>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</si>
  <si>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</si>
  <si>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</si>
  <si>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</si>
  <si>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</si>
  <si>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</si>
  <si>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</si>
  <si>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</si>
  <si>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</si>
  <si>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</si>
  <si>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</si>
  <si>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</si>
  <si>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</si>
  <si>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</si>
  <si>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</si>
  <si>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</si>
  <si>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</si>
  <si>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</si>
  <si>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</si>
  <si>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</si>
  <si>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</si>
  <si>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</si>
  <si>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</si>
  <si>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</si>
  <si>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</si>
  <si>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</si>
  <si>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</si>
  <si>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</si>
  <si>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</si>
  <si>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</si>
  <si>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</si>
  <si>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</si>
  <si>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</si>
  <si>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</si>
  <si>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</si>
  <si>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</si>
  <si>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</si>
  <si>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</si>
  <si>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</si>
  <si>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</si>
  <si>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</si>
  <si>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</si>
  <si>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</si>
  <si>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</si>
  <si>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</si>
  <si>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</si>
  <si>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</si>
  <si>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</si>
  <si>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</si>
  <si>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</si>
  <si>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</si>
  <si>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</si>
  <si>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</si>
  <si>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</si>
  <si>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</si>
  <si>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</si>
  <si>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</si>
  <si>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</si>
  <si>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</si>
  <si>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</si>
  <si>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</si>
  <si>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</si>
  <si>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</si>
  <si>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</si>
  <si>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</si>
  <si>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</si>
  <si>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</si>
  <si>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</si>
  <si>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</si>
  <si>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</si>
  <si>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</si>
  <si>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</si>
  <si>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</si>
  <si>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</si>
  <si>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</si>
  <si>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</si>
  <si>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</si>
  <si>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</si>
  <si>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</si>
  <si>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</si>
  <si>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</si>
  <si>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</si>
  <si>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</si>
  <si>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</si>
  <si>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</si>
  <si>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</si>
  <si>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</si>
  <si>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</si>
  <si>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</si>
  <si>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</si>
  <si>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</si>
  <si>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</si>
  <si>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</si>
  <si>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</si>
  <si>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</si>
  <si>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</si>
  <si>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</si>
  <si>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</si>
  <si>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</si>
  <si>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</si>
  <si>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</si>
  <si>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</si>
  <si>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</si>
  <si>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</si>
  <si>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</si>
  <si>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</si>
  <si>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</si>
  <si>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</si>
  <si>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</si>
  <si>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</si>
  <si>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</si>
  <si>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</si>
  <si>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</si>
  <si>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</si>
  <si>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</si>
  <si>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</si>
  <si>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</si>
  <si>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</si>
  <si>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</si>
  <si>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</si>
  <si>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</si>
  <si>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</si>
  <si>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</si>
  <si>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</si>
  <si>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</si>
  <si>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</si>
  <si>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</si>
  <si>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</si>
  <si>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</si>
  <si>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</si>
  <si>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</si>
  <si>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</si>
  <si>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</si>
  <si>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</si>
  <si>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</si>
  <si>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</si>
  <si>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</si>
  <si>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</si>
  <si>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</si>
  <si>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</si>
  <si>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</si>
  <si>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</si>
  <si>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</si>
  <si>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</si>
  <si>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</si>
  <si>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</si>
  <si>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</si>
  <si>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</si>
  <si>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</si>
  <si>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</si>
  <si>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</si>
  <si>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</si>
  <si>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</si>
  <si>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</si>
  <si>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</si>
  <si>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</si>
  <si>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</si>
  <si>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</si>
  <si>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</si>
  <si>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</si>
  <si>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</si>
  <si>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</si>
  <si>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</si>
  <si>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</si>
  <si>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</si>
  <si>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</si>
  <si>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</si>
  <si>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</si>
  <si>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</si>
  <si>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</si>
  <si>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</si>
  <si>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</si>
  <si>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</si>
  <si>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</si>
  <si>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</si>
  <si>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</si>
  <si>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</si>
  <si>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</si>
  <si>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</si>
  <si>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</si>
  <si>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</si>
  <si>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</si>
  <si>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</si>
  <si>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</si>
  <si>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</si>
  <si>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</si>
  <si>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</si>
  <si>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</si>
  <si>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</si>
  <si>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</si>
  <si>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</si>
  <si>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</si>
  <si>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</si>
  <si>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</si>
  <si>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</si>
  <si>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</si>
  <si>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</si>
  <si>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</si>
  <si>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</si>
  <si>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</si>
  <si>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</si>
  <si>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</si>
  <si>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</si>
  <si>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</si>
  <si>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</si>
  <si>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</si>
  <si>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</si>
  <si>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</si>
  <si>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</si>
  <si>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</si>
  <si>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</si>
  <si>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</si>
  <si>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</si>
  <si>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</si>
  <si>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</si>
  <si>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</si>
  <si>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</si>
  <si>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</si>
  <si>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</si>
  <si>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</si>
  <si>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</si>
  <si>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</si>
  <si>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</si>
  <si>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</si>
  <si>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</si>
  <si>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</si>
  <si>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</si>
  <si>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</si>
  <si>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</si>
  <si>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</si>
  <si>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</si>
  <si>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</si>
  <si>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</si>
  <si>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</si>
  <si>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</si>
  <si>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</si>
  <si>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</si>
  <si>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</si>
  <si>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</si>
  <si>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</si>
  <si>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</si>
  <si>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</si>
  <si>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</si>
  <si>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</si>
  <si>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</si>
  <si>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</si>
  <si>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</si>
  <si>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</si>
  <si>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</si>
  <si>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</si>
  <si>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</si>
  <si>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</si>
  <si>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</si>
  <si>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</si>
  <si>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</si>
  <si>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</si>
  <si>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</si>
  <si>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</si>
  <si>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</si>
  <si>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</si>
  <si>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</si>
  <si>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</si>
  <si>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</si>
  <si>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</si>
  <si>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</si>
  <si>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</si>
  <si>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</si>
  <si>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</si>
  <si>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</si>
  <si>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</si>
  <si>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</si>
  <si>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</si>
  <si>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</si>
  <si>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</si>
  <si>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</si>
  <si>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</si>
  <si>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</si>
  <si>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</si>
  <si>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</si>
  <si>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</si>
  <si>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</si>
  <si>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</si>
  <si>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</si>
  <si>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</si>
  <si>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</si>
  <si>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</si>
  <si>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</si>
  <si>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</si>
  <si>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</si>
  <si>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</si>
  <si>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</si>
  <si>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</si>
  <si>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</si>
  <si>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</si>
  <si>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</si>
  <si>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</si>
  <si>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</si>
  <si>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</si>
  <si>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</si>
  <si>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</si>
  <si>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</si>
  <si>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</si>
  <si>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</si>
  <si>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</si>
  <si>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</si>
  <si>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</si>
  <si>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</si>
  <si>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</si>
  <si>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</si>
  <si>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</si>
  <si>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</si>
  <si>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</si>
  <si>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</si>
  <si>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</si>
  <si>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</si>
  <si>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</si>
  <si>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</si>
  <si>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</si>
  <si>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</si>
  <si>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</si>
  <si>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</si>
  <si>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</si>
  <si>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</si>
  <si>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</si>
  <si>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</si>
  <si>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</si>
  <si>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</si>
  <si>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</si>
  <si>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</si>
  <si>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</si>
  <si>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</si>
  <si>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</si>
  <si>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</si>
  <si>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</si>
  <si>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</si>
  <si>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</si>
  <si>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</si>
  <si>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</si>
  <si>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</si>
  <si>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</si>
  <si>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</si>
  <si>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</si>
  <si>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</si>
  <si>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</si>
  <si>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</si>
  <si>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</si>
  <si>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</si>
  <si>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</si>
  <si>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</si>
  <si>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</si>
  <si>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</si>
  <si>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</si>
  <si>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</si>
  <si>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</si>
  <si>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</si>
  <si>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</si>
  <si>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</si>
  <si>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</si>
  <si>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</si>
  <si>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</si>
  <si>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</si>
  <si>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</si>
  <si>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</si>
  <si>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</si>
  <si>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</si>
  <si>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</si>
  <si>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</si>
  <si>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</si>
  <si>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</si>
  <si>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</si>
  <si>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</si>
  <si>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</si>
  <si>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</si>
  <si>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</si>
  <si>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</si>
  <si>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</si>
  <si>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</si>
  <si>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</si>
  <si>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</si>
  <si>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</si>
  <si>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</si>
  <si>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</si>
  <si>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</si>
  <si>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</si>
  <si>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</si>
  <si>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</si>
  <si>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</si>
  <si>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</si>
  <si>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</si>
  <si>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</si>
  <si>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</si>
  <si>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</si>
  <si>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</si>
  <si>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</si>
  <si>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</si>
  <si>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</si>
  <si>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</si>
  <si>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</si>
  <si>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</si>
  <si>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</si>
  <si>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</si>
  <si>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</si>
  <si>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</si>
  <si>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</si>
  <si>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</si>
  <si>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</si>
  <si>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</si>
  <si>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</si>
  <si>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</si>
  <si>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</si>
  <si>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</si>
  <si>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</si>
  <si>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</si>
  <si>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</si>
  <si>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</si>
  <si>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</si>
  <si>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</si>
  <si>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</si>
  <si>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</si>
  <si>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</si>
  <si>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</si>
  <si>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</si>
  <si>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</si>
  <si>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</si>
  <si>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</si>
  <si>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</si>
  <si>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</si>
  <si>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</si>
  <si>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</si>
  <si>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</si>
  <si>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</si>
  <si>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</si>
  <si>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</si>
  <si>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</si>
  <si>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</si>
  <si>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</si>
  <si>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</si>
  <si>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</si>
  <si>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</si>
  <si>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</si>
  <si>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</si>
  <si>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</si>
  <si>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</si>
  <si>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</si>
  <si>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</si>
  <si>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</si>
  <si>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</si>
  <si>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</si>
  <si>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</si>
  <si>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</si>
  <si>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</si>
  <si>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</si>
  <si>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</si>
  <si>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</si>
  <si>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</si>
  <si>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</si>
  <si>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</si>
  <si>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</si>
  <si>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</si>
  <si>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</si>
  <si>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</si>
  <si>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</si>
  <si>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</si>
  <si>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</si>
  <si>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</si>
  <si>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</si>
  <si>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</si>
  <si>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</si>
  <si>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</si>
  <si>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</si>
  <si>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</si>
  <si>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</si>
  <si>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</si>
  <si>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</si>
  <si>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</si>
  <si>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</si>
  <si>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</si>
  <si>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</si>
  <si>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</si>
  <si>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</si>
  <si>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</si>
  <si>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</si>
  <si>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</si>
  <si>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</si>
  <si>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</si>
  <si>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</si>
  <si>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</si>
  <si>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</si>
  <si>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</si>
  <si>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</si>
  <si>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</si>
  <si>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</si>
  <si>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</si>
  <si>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</si>
  <si>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</si>
  <si>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</si>
  <si>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</si>
  <si>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</si>
  <si>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</si>
  <si>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</si>
  <si>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</si>
  <si>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</si>
  <si>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</si>
  <si>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</si>
  <si>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</si>
  <si>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</si>
  <si>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</si>
  <si>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</si>
  <si>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</si>
  <si>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</si>
  <si>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</si>
  <si>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</si>
  <si>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</si>
  <si>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</si>
  <si>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</si>
  <si>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</si>
  <si>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</si>
  <si>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</si>
  <si>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</si>
  <si>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</si>
  <si>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</si>
  <si>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</si>
  <si>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</si>
  <si>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</si>
  <si>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</si>
  <si>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</si>
  <si>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</si>
  <si>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</si>
  <si>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</si>
  <si>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</si>
  <si>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</si>
  <si>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</si>
  <si>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</si>
  <si>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</si>
  <si>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</si>
  <si>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</si>
  <si>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</si>
  <si>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</si>
  <si>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</si>
  <si>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</si>
  <si>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</si>
  <si>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</si>
  <si>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</si>
  <si>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</si>
  <si>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</si>
  <si>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</si>
  <si>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</si>
  <si>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</si>
  <si>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</si>
  <si>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</si>
  <si>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</si>
  <si>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</si>
  <si>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</si>
  <si>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</si>
  <si>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</si>
  <si>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</si>
  <si>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</si>
  <si>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</si>
  <si>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</si>
  <si>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</si>
  <si>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</si>
  <si>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</si>
  <si>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</si>
  <si>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</si>
  <si>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</si>
  <si>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</si>
  <si>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</si>
  <si>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</si>
  <si>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</si>
  <si>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</si>
  <si>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</si>
  <si>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</si>
  <si>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</si>
  <si>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</si>
  <si>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</si>
  <si>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</si>
  <si>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</si>
  <si>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</si>
  <si>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</si>
  <si>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</si>
  <si>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</si>
  <si>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</si>
  <si>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</si>
  <si>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</si>
  <si>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</si>
  <si>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</si>
  <si>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</si>
  <si>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</si>
  <si>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</si>
  <si>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</si>
  <si>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</si>
  <si>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</si>
  <si>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</si>
  <si>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</si>
  <si>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</si>
  <si>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</si>
  <si>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</si>
  <si>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</si>
  <si>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</si>
  <si>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</si>
  <si>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</si>
  <si>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</si>
  <si>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</si>
  <si>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</si>
  <si>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</si>
  <si>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</si>
  <si>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</si>
  <si>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</si>
  <si>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</si>
  <si>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</si>
  <si>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</si>
  <si>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</si>
  <si>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</si>
  <si>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</si>
  <si>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</si>
  <si>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</si>
  <si>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</si>
  <si>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</si>
  <si>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</si>
  <si>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</si>
  <si>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</si>
  <si>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</si>
  <si>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</si>
  <si>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</si>
  <si>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</si>
  <si>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</si>
  <si>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</si>
  <si>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</si>
  <si>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</si>
  <si>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</si>
  <si>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</si>
  <si>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</si>
  <si>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</si>
  <si>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</si>
  <si>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</si>
  <si>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</si>
  <si>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</si>
  <si>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</si>
  <si>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</si>
  <si>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</si>
  <si>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</si>
  <si>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</si>
  <si>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</si>
  <si>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</si>
  <si>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</si>
  <si>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</si>
  <si>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</si>
  <si>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</si>
  <si>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</si>
  <si>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</si>
  <si>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</si>
  <si>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</si>
  <si>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</si>
  <si>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</si>
  <si>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</si>
  <si>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</si>
  <si>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</si>
  <si>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</si>
  <si>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</si>
  <si>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</si>
  <si>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</si>
  <si>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</si>
  <si>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</si>
  <si>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</si>
  <si>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</si>
  <si>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</si>
  <si>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</si>
  <si>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</si>
  <si>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</si>
  <si>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</si>
  <si>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</si>
  <si>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</si>
  <si>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</si>
  <si>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</si>
  <si>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</si>
  <si>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</si>
  <si>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</si>
  <si>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</si>
  <si>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</si>
  <si>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</si>
  <si>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</si>
  <si>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</si>
  <si>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</si>
  <si>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</si>
  <si>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</si>
  <si>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</si>
  <si>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</si>
  <si>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</si>
  <si>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</si>
  <si>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</si>
  <si>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</si>
  <si>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</si>
  <si>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</si>
  <si>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</si>
  <si>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</si>
  <si>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</si>
  <si>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</si>
  <si>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</si>
  <si>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</si>
  <si>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</si>
  <si>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</si>
  <si>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</si>
  <si>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</si>
  <si>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</si>
  <si>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</si>
  <si>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</si>
  <si>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</si>
  <si>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</si>
  <si>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</si>
  <si>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</si>
  <si>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</si>
  <si>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</si>
  <si>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</si>
  <si>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</si>
  <si>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</si>
  <si>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</si>
  <si>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</si>
  <si>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</si>
  <si>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</si>
  <si>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</si>
  <si>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</si>
  <si>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</si>
  <si>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</si>
  <si>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</si>
  <si>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</si>
  <si>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</si>
  <si>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</si>
  <si>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</si>
  <si>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</si>
  <si>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</si>
  <si>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</si>
  <si>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</si>
  <si>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</si>
  <si>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</si>
  <si>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</si>
  <si>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</si>
  <si>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</si>
  <si>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</si>
  <si>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</si>
  <si>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</si>
  <si>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</si>
  <si>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</si>
  <si>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</si>
  <si>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</si>
  <si>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</si>
  <si>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</si>
  <si>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</si>
  <si>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</si>
  <si>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</si>
  <si>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</si>
  <si>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</si>
  <si>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</si>
  <si>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</si>
  <si>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</si>
  <si>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</si>
  <si>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</si>
  <si>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</si>
  <si>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</si>
  <si>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</si>
  <si>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</si>
  <si>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</si>
  <si>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</si>
  <si>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</si>
  <si>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</si>
  <si>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</si>
  <si>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</si>
  <si>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</si>
  <si>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</si>
  <si>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</si>
  <si>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</si>
  <si>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</si>
  <si>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</si>
  <si>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</si>
  <si>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</si>
  <si>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</si>
  <si>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</si>
  <si>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</si>
  <si>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</si>
  <si>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</si>
  <si>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</si>
  <si>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</si>
  <si>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</si>
  <si>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</si>
  <si>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</si>
  <si>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</si>
  <si>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</si>
  <si>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</si>
  <si>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</si>
  <si>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</si>
  <si>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</si>
  <si>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</si>
  <si>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</si>
  <si>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</si>
  <si>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</si>
  <si>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</si>
  <si>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</si>
  <si>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</si>
  <si>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</si>
  <si>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</si>
  <si>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</si>
  <si>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</si>
  <si>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</si>
  <si>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</si>
  <si>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</si>
  <si>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</si>
  <si>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</si>
  <si>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</si>
  <si>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</si>
  <si>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</si>
  <si>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</si>
  <si>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</si>
  <si>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</si>
  <si>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</si>
  <si>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</si>
  <si>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</si>
  <si>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</si>
  <si>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</si>
  <si>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</si>
  <si>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</si>
  <si>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</si>
  <si>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</si>
  <si>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</si>
  <si>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</si>
  <si>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</si>
  <si>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</si>
  <si>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</si>
  <si>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</si>
  <si>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</si>
  <si>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</si>
  <si>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</si>
  <si>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</si>
  <si>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</si>
  <si>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</si>
  <si>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</si>
  <si>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</si>
  <si>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</si>
  <si>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</si>
  <si>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</si>
  <si>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</si>
  <si>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</si>
  <si>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</si>
  <si>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</si>
  <si>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</si>
  <si>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</si>
  <si>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</si>
  <si>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</si>
  <si>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</si>
  <si>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</si>
  <si>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</si>
  <si>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</si>
  <si>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</si>
  <si>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</si>
  <si>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</si>
  <si>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</si>
  <si>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</si>
  <si>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</si>
  <si>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</si>
  <si>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</si>
  <si>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</si>
  <si>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</si>
  <si>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</si>
  <si>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</si>
  <si>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</si>
  <si>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</si>
  <si>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</si>
  <si>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</si>
  <si>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</si>
  <si>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</si>
  <si>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</si>
  <si>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</si>
  <si>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</si>
  <si>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</si>
  <si>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</si>
  <si>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</si>
  <si>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</si>
  <si>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</si>
  <si>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</si>
  <si>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</si>
  <si>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</si>
  <si>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</si>
  <si>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</si>
  <si>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</si>
  <si>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</si>
  <si>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</si>
  <si>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</si>
  <si>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</si>
  <si>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</si>
  <si>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</si>
  <si>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</si>
  <si>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</si>
  <si>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</si>
  <si>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</si>
  <si>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</si>
  <si>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</si>
  <si>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</si>
  <si>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</si>
  <si>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</si>
  <si>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</si>
  <si>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</si>
  <si>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</si>
  <si>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</si>
  <si>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</si>
  <si>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</si>
  <si>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</si>
  <si>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</si>
  <si>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</si>
  <si>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</si>
  <si>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</si>
  <si>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</si>
  <si>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</si>
  <si>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</si>
  <si>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</si>
  <si>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</si>
  <si>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</si>
  <si>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</si>
  <si>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</si>
  <si>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</si>
  <si>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</si>
  <si>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</si>
  <si>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</si>
  <si>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</si>
  <si>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</si>
  <si>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</si>
  <si>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</si>
  <si>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</si>
  <si>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</si>
  <si>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</si>
  <si>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</si>
  <si>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</si>
  <si>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</si>
  <si>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</si>
  <si>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</si>
  <si>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</si>
  <si>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</si>
  <si>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</si>
  <si>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</si>
  <si>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</si>
  <si>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</si>
  <si>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</si>
  <si>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</si>
  <si>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</si>
  <si>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</si>
  <si>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</si>
  <si>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</si>
  <si>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</si>
  <si>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</si>
  <si>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</si>
  <si>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</si>
  <si>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</si>
  <si>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</si>
  <si>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</si>
  <si>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</si>
  <si>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</si>
  <si>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</si>
  <si>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</si>
  <si>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</si>
  <si>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</si>
  <si>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</si>
  <si>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</si>
  <si>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</si>
  <si>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</si>
  <si>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</si>
  <si>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</si>
  <si>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</si>
  <si>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</si>
  <si>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</si>
  <si>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</si>
  <si>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</si>
  <si>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</si>
  <si>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</si>
  <si>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</si>
  <si>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</si>
  <si>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</si>
  <si>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</si>
  <si>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</si>
  <si>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</si>
  <si>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</si>
  <si>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</si>
  <si>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</si>
  <si>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</si>
  <si>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</si>
  <si>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</si>
  <si>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</si>
  <si>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</si>
  <si>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</si>
  <si>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</si>
  <si>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</si>
  <si>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</si>
  <si>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</si>
  <si>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</si>
  <si>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</si>
  <si>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</si>
  <si>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</si>
  <si>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</si>
  <si>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</si>
  <si>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</si>
  <si>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</si>
  <si>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</si>
  <si>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</si>
  <si>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</si>
  <si>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</si>
  <si>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</si>
  <si>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</si>
  <si>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</si>
  <si>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</si>
  <si>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</si>
  <si>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</si>
  <si>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</si>
  <si>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</si>
  <si>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</si>
  <si>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</si>
  <si>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</si>
  <si>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</si>
  <si>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</si>
  <si>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</si>
  <si>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</si>
  <si>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</si>
  <si>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</si>
  <si>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</si>
  <si>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</si>
  <si>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</si>
  <si>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</si>
  <si>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</si>
  <si>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</si>
  <si>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</si>
  <si>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</si>
  <si>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</si>
  <si>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</si>
  <si>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</si>
  <si>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</si>
  <si>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</si>
  <si>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</si>
  <si>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</si>
  <si>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</si>
  <si>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</si>
  <si>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</si>
  <si>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</si>
  <si>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</si>
  <si>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</si>
  <si>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</si>
  <si>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</si>
  <si>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</si>
  <si>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</si>
  <si>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</si>
  <si>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</si>
  <si>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</si>
  <si>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</si>
  <si>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</si>
  <si>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</si>
  <si>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</si>
  <si>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</si>
  <si>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</si>
  <si>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</si>
  <si>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</si>
  <si>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</si>
  <si>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</si>
  <si>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</si>
  <si>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</si>
  <si>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</si>
  <si>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</si>
  <si>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</si>
  <si>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</si>
  <si>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</si>
  <si>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</si>
  <si>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</si>
  <si>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</si>
  <si>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</si>
  <si>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</si>
  <si>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</si>
  <si>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</si>
  <si>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</si>
  <si>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</si>
  <si>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</si>
  <si>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</si>
  <si>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</si>
  <si>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</si>
  <si>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</si>
  <si>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</si>
  <si>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</si>
  <si>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</si>
  <si>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</si>
  <si>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</si>
  <si>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</si>
  <si>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</si>
  <si>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</si>
  <si>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</si>
  <si>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</si>
  <si>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</si>
  <si>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</si>
  <si>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</si>
  <si>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</si>
  <si>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</si>
  <si>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</si>
  <si>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</si>
  <si>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</si>
  <si>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</si>
  <si>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</si>
  <si>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</si>
  <si>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</si>
  <si>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</si>
  <si>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</si>
  <si>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</si>
  <si>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</si>
  <si>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</si>
  <si>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</si>
  <si>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</si>
  <si>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</si>
  <si>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</si>
  <si>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</si>
  <si>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</si>
  <si>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</si>
  <si>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</si>
  <si>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</si>
  <si>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</si>
  <si>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</si>
  <si>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</si>
  <si>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</si>
  <si>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</si>
  <si>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</si>
  <si>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</si>
  <si>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</si>
  <si>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</si>
  <si>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</si>
  <si>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</si>
  <si>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</si>
  <si>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</si>
  <si>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</si>
  <si>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</si>
  <si>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</si>
  <si>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</si>
  <si>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</si>
  <si>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</si>
  <si>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</si>
  <si>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</si>
  <si>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</si>
  <si>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</si>
  <si>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</si>
  <si>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</si>
  <si>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</si>
  <si>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</si>
  <si>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</si>
  <si>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</si>
  <si>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</si>
  <si>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</si>
  <si>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</si>
  <si>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</si>
  <si>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</si>
  <si>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</si>
  <si>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</si>
  <si>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</si>
  <si>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</si>
  <si>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</si>
  <si>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</si>
  <si>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</si>
  <si>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</si>
  <si>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</si>
  <si>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</si>
  <si>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</si>
  <si>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</si>
  <si>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</si>
  <si>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</si>
  <si>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</si>
  <si>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</si>
  <si>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</si>
  <si>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</si>
  <si>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</si>
  <si>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</si>
  <si>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</si>
  <si>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</si>
  <si>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</si>
  <si>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</si>
  <si>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</si>
  <si>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</si>
  <si>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</si>
  <si>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</si>
  <si>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</si>
  <si>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</si>
  <si>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</si>
  <si>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</si>
  <si>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</si>
  <si>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</si>
  <si>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</si>
  <si>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</si>
  <si>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</si>
  <si>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</si>
  <si>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</si>
  <si>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</si>
  <si>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</si>
  <si>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</si>
  <si>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</si>
  <si>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</si>
  <si>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</si>
  <si>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</si>
  <si>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</si>
  <si>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</si>
  <si>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</si>
  <si>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</si>
  <si>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</si>
  <si>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</si>
  <si>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</si>
  <si>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</si>
  <si>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</si>
  <si>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</si>
  <si>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</si>
  <si>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</si>
  <si>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</si>
  <si>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</si>
  <si>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</si>
  <si>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</si>
  <si>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</si>
  <si>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</si>
  <si>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</si>
  <si>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</si>
  <si>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</si>
  <si>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</si>
  <si>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</si>
  <si>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</si>
  <si>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</si>
  <si>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</si>
  <si>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</si>
  <si>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</si>
  <si>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</si>
  <si>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</si>
  <si>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</si>
  <si>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</si>
  <si>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</si>
  <si>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</si>
  <si>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</si>
  <si>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</si>
  <si>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</si>
  <si>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</si>
  <si>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</si>
  <si>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</si>
  <si>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</si>
  <si>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</si>
  <si>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</si>
  <si>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</si>
  <si>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</si>
  <si>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</si>
  <si>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</si>
  <si>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</si>
  <si>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</si>
  <si>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</si>
  <si>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</si>
  <si>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</si>
  <si>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</si>
  <si>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</si>
  <si>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</si>
  <si>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</si>
  <si>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</si>
  <si>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</si>
  <si>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</si>
  <si>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</si>
  <si>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</si>
  <si>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</si>
  <si>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</si>
  <si>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</si>
  <si>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</si>
  <si>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</si>
  <si>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</si>
  <si>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</si>
  <si>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</si>
  <si>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</si>
  <si>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</si>
  <si>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</si>
  <si>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</si>
  <si>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</si>
  <si>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</si>
  <si>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</si>
  <si>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</si>
  <si>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</si>
  <si>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</si>
  <si>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</si>
  <si>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</si>
  <si>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</si>
  <si>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</si>
  <si>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</si>
  <si>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</si>
  <si>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</si>
  <si>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</si>
  <si>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</si>
  <si>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</si>
  <si>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</si>
  <si>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</si>
  <si>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</si>
  <si>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</si>
  <si>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</si>
  <si>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</si>
  <si>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</si>
  <si>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</si>
  <si>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</si>
  <si>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</si>
  <si>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</si>
  <si>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</si>
  <si>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</si>
  <si>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</si>
  <si>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</si>
  <si>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</si>
  <si>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</si>
  <si>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</si>
  <si>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</si>
  <si>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</si>
  <si>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</si>
  <si>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</si>
  <si>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</si>
  <si>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</si>
  <si>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</si>
  <si>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</si>
  <si>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</si>
  <si>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</si>
  <si>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</si>
  <si>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</si>
  <si>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</si>
  <si>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</si>
  <si>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</si>
  <si>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</si>
  <si>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</si>
  <si>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</si>
  <si>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</si>
  <si>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</si>
  <si>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</si>
  <si>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</si>
  <si>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</si>
  <si>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</si>
  <si>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</si>
  <si>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</si>
  <si>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</si>
  <si>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</si>
  <si>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</si>
  <si>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</si>
  <si>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</si>
  <si>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</si>
  <si>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</si>
  <si>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</si>
  <si>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</si>
  <si>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</si>
  <si>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</si>
  <si>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</si>
  <si>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</si>
  <si>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</si>
  <si>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</si>
  <si>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</si>
  <si>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</si>
  <si>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</si>
  <si>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</si>
  <si>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</si>
  <si>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</si>
  <si>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</si>
  <si>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</si>
  <si>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</si>
  <si>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</si>
  <si>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</si>
  <si>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</si>
  <si>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</si>
  <si>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</si>
  <si>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</si>
  <si>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</si>
  <si>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</si>
  <si>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</si>
  <si>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</si>
  <si>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</si>
  <si>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</si>
  <si>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</si>
  <si>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</si>
  <si>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</si>
  <si>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</si>
  <si>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</si>
  <si>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</si>
  <si>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</si>
  <si>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</si>
  <si>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</si>
  <si>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</si>
  <si>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</si>
  <si>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</si>
  <si>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</si>
  <si>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</si>
  <si>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</si>
  <si>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</si>
  <si>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</si>
  <si>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</si>
  <si>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</si>
  <si>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</si>
  <si>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</si>
  <si>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</si>
  <si>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</si>
  <si>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</si>
  <si>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</si>
  <si>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</si>
  <si>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</si>
  <si>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</si>
  <si>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</si>
  <si>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</si>
  <si>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</si>
  <si>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</si>
  <si>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</si>
  <si>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</si>
  <si>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</si>
  <si>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</si>
  <si>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</si>
  <si>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</si>
  <si>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</si>
  <si>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</si>
  <si>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</si>
  <si>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</si>
  <si>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</si>
  <si>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</si>
  <si>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</si>
  <si>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</si>
  <si>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</si>
  <si>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</si>
  <si>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</si>
  <si>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</si>
  <si>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</si>
  <si>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</si>
  <si>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</si>
  <si>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</si>
  <si>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</si>
  <si>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</si>
  <si>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</si>
  <si>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</si>
  <si>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</si>
  <si>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</si>
  <si>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</si>
  <si>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</si>
  <si>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</si>
  <si>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</si>
  <si>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</si>
  <si>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</si>
  <si>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</si>
  <si>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</si>
  <si>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</si>
  <si>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</si>
  <si>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</si>
  <si>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</si>
  <si>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</si>
  <si>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</si>
  <si>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</si>
  <si>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</si>
  <si>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</si>
  <si>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</si>
  <si>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</si>
  <si>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</si>
  <si>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</si>
  <si>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</si>
  <si>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</si>
  <si>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</si>
  <si>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</si>
  <si>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</si>
  <si>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</si>
  <si>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</si>
  <si>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</si>
  <si>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</si>
  <si>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</si>
  <si>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</si>
  <si>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</si>
  <si>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</si>
  <si>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</si>
  <si>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</si>
  <si>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</si>
  <si>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</si>
  <si>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</si>
  <si>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</si>
  <si>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</si>
  <si>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</si>
  <si>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</si>
  <si>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</si>
  <si>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</si>
  <si>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</si>
  <si>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</si>
  <si>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</si>
  <si>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</si>
  <si>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</si>
  <si>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</si>
  <si>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</si>
  <si>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</si>
  <si>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</si>
  <si>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</si>
  <si>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</si>
  <si>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</si>
  <si>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</si>
  <si>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</si>
  <si>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</si>
  <si>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</si>
  <si>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</si>
  <si>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</si>
  <si>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</si>
  <si>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</si>
  <si>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</si>
  <si>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</si>
  <si>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</si>
  <si>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</si>
  <si>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</si>
  <si>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</si>
  <si>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</si>
  <si>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</si>
  <si>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</si>
  <si>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</si>
  <si>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</si>
  <si>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</si>
  <si>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</si>
  <si>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</si>
  <si>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</si>
  <si>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</si>
  <si>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</si>
  <si>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</si>
  <si>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</si>
  <si>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</si>
  <si>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</si>
  <si>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</si>
  <si>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</si>
  <si>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</si>
  <si>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</si>
  <si>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</si>
  <si>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</si>
  <si>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</si>
  <si>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</si>
  <si>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</si>
  <si>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</si>
  <si>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</si>
  <si>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</si>
  <si>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</si>
  <si>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</si>
  <si>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</si>
  <si>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</si>
  <si>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</si>
  <si>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</si>
  <si>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</si>
  <si>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</si>
  <si>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</si>
  <si>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</si>
  <si>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</si>
  <si>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</si>
  <si>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</si>
  <si>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</si>
  <si>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</si>
  <si>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</si>
  <si>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</si>
  <si>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</si>
  <si>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</si>
  <si>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</si>
  <si>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</si>
  <si>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</si>
  <si>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</si>
  <si>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</si>
  <si>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</si>
  <si>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</si>
  <si>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</si>
  <si>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</si>
  <si>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</si>
  <si>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</si>
  <si>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</si>
  <si>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</si>
  <si>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</si>
  <si>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</si>
  <si>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</si>
  <si>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</si>
  <si>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</si>
  <si>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</si>
  <si>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</si>
  <si>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</si>
  <si>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</si>
  <si>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</si>
  <si>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</si>
  <si>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</si>
  <si>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</si>
  <si>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</si>
  <si>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</si>
  <si>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</si>
  <si>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</si>
  <si>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</si>
  <si>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</si>
  <si>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</si>
  <si>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</si>
  <si>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</si>
  <si>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</si>
  <si>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</si>
  <si>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</si>
  <si>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</si>
  <si>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</si>
  <si>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</si>
  <si>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</si>
  <si>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</si>
  <si>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</si>
  <si>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</si>
  <si>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</si>
  <si>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</si>
  <si>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</si>
  <si>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</si>
  <si>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</si>
  <si>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</si>
  <si>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</si>
  <si>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</si>
  <si>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</si>
  <si>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</si>
  <si>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</si>
  <si>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</si>
  <si>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</si>
  <si>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</si>
  <si>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</si>
  <si>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</si>
  <si>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</si>
  <si>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</si>
  <si>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</si>
  <si>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</si>
  <si>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</si>
  <si>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</si>
  <si>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</si>
  <si>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</si>
  <si>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</si>
  <si>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</si>
  <si>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</si>
  <si>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</si>
  <si>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</si>
  <si>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</si>
  <si>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</si>
  <si>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</si>
  <si>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</si>
  <si>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</si>
  <si>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</si>
  <si>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</si>
  <si>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</si>
  <si>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</si>
  <si>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</si>
  <si>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</si>
  <si>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</si>
  <si>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</si>
  <si>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</si>
  <si>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</si>
  <si>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</si>
  <si>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</si>
  <si>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</si>
  <si>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</si>
  <si>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</si>
  <si>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</si>
  <si>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</si>
  <si>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</si>
  <si>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</si>
  <si>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</si>
  <si>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</si>
  <si>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</si>
  <si>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</si>
  <si>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</si>
  <si>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</si>
  <si>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</si>
  <si>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</si>
  <si>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</si>
  <si>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</si>
  <si>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</si>
  <si>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</si>
  <si>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</si>
  <si>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</si>
  <si>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</si>
  <si>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</si>
  <si>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</si>
  <si>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</si>
  <si>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</si>
  <si>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</si>
  <si>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</si>
  <si>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</si>
  <si>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</si>
  <si>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</si>
  <si>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</si>
  <si>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</si>
  <si>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</si>
  <si>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</si>
  <si>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</si>
  <si>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</si>
  <si>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</si>
  <si>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</si>
  <si>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</si>
  <si>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</si>
  <si>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</si>
  <si>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</si>
  <si>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</si>
  <si>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</si>
  <si>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</si>
  <si>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</si>
  <si>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</si>
  <si>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</si>
  <si>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</si>
  <si>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</si>
  <si>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</si>
  <si>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</si>
  <si>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</si>
  <si>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</si>
  <si>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</si>
  <si>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</si>
  <si>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</si>
  <si>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</si>
  <si>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</si>
  <si>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</si>
  <si>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</si>
  <si>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</si>
  <si>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</si>
  <si>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</si>
  <si>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</si>
  <si>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</si>
  <si>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</si>
  <si>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</si>
  <si>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</si>
  <si>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</si>
  <si>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</si>
  <si>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</si>
  <si>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</si>
  <si>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</si>
  <si>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</si>
  <si>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</si>
  <si>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</si>
  <si>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</si>
  <si>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</si>
  <si>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</si>
  <si>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</si>
  <si>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</si>
  <si>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</si>
  <si>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</si>
  <si>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</si>
  <si>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</si>
  <si>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</si>
  <si>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</si>
  <si>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</si>
  <si>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</si>
  <si>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</si>
  <si>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</si>
  <si>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</si>
  <si>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</si>
  <si>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</si>
  <si>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</si>
  <si>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</si>
  <si>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</si>
  <si>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</si>
  <si>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</si>
  <si>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</si>
  <si>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</si>
  <si>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</si>
  <si>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</si>
  <si>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</si>
  <si>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</si>
  <si>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</si>
  <si>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</si>
  <si>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</si>
  <si>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</si>
  <si>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</si>
  <si>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</si>
  <si>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</si>
  <si>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</si>
  <si>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</si>
  <si>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</si>
  <si>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</si>
  <si>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</si>
  <si>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</si>
  <si>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</si>
  <si>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</si>
  <si>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</si>
  <si>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</si>
  <si>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</si>
  <si>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</si>
  <si>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</si>
  <si>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</si>
  <si>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</si>
  <si>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</si>
  <si>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</si>
  <si>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</si>
  <si>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</si>
  <si>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</si>
  <si>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</si>
  <si>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</si>
  <si>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</si>
  <si>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</si>
  <si>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</si>
  <si>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</si>
  <si>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</si>
  <si>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</si>
  <si>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</si>
  <si>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</si>
  <si>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</si>
  <si>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</si>
  <si>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</si>
  <si>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</si>
  <si>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</si>
  <si>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</si>
  <si>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</si>
  <si>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</si>
  <si>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</si>
  <si>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</si>
  <si>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</si>
  <si>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</si>
  <si>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</si>
  <si>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</si>
  <si>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</si>
  <si>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</si>
  <si>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</si>
  <si>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</si>
  <si>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</si>
  <si>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</si>
  <si>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</si>
  <si>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</si>
  <si>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</si>
  <si>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</si>
  <si>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</si>
  <si>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</si>
  <si>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</si>
  <si>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</si>
  <si>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</si>
  <si>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</si>
  <si>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</si>
  <si>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</si>
  <si>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</si>
  <si>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</si>
  <si>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</si>
  <si>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</si>
  <si>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</si>
  <si>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</si>
  <si>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</si>
  <si>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</si>
  <si>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</si>
  <si>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</si>
  <si>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</si>
  <si>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</si>
  <si>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</si>
  <si>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</si>
  <si>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</si>
  <si>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</si>
  <si>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</si>
  <si>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</si>
  <si>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</si>
  <si>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</si>
  <si>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</si>
  <si>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</si>
  <si>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</si>
  <si>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</si>
  <si>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</si>
  <si>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</si>
  <si>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</si>
  <si>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</si>
  <si>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</si>
  <si>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</si>
  <si>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</si>
  <si>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</si>
  <si>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</si>
  <si>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</si>
  <si>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</si>
  <si>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</si>
  <si>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</si>
  <si>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</si>
  <si>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</si>
  <si>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</si>
  <si>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</si>
  <si>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</si>
  <si>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</si>
  <si>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</si>
  <si>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</si>
  <si>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</si>
  <si>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</si>
  <si>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</si>
  <si>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</si>
  <si>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</si>
  <si>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</si>
  <si>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</si>
  <si>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</si>
  <si>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</si>
  <si>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</si>
  <si>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</si>
  <si>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</si>
  <si>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</si>
  <si>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</si>
  <si>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</si>
  <si>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</si>
  <si>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</si>
  <si>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</si>
  <si>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</si>
  <si>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</si>
  <si>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</si>
  <si>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</si>
  <si>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</si>
  <si>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</si>
  <si>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</si>
  <si>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</si>
  <si>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</si>
  <si>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</si>
  <si>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</si>
  <si>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</si>
  <si>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</si>
  <si>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</si>
  <si>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</si>
  <si>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</si>
  <si>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</si>
  <si>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</si>
  <si>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</si>
  <si>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</si>
  <si>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</si>
  <si>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</si>
  <si>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</si>
  <si>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</si>
  <si>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</si>
  <si>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</si>
  <si>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</si>
  <si>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</si>
  <si>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</si>
  <si>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</si>
  <si>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</si>
  <si>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</si>
  <si>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</si>
  <si>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</si>
  <si>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</si>
  <si>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</si>
  <si>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</si>
  <si>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</si>
  <si>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</si>
  <si>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</si>
  <si>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</si>
  <si>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</si>
  <si>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</si>
  <si>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</si>
  <si>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</si>
  <si>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</si>
  <si>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</si>
  <si>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</si>
  <si>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</si>
  <si>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</si>
  <si>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</si>
  <si>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</si>
  <si>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</si>
  <si>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</si>
  <si>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</si>
  <si>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</si>
  <si>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</si>
  <si>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</si>
  <si>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</si>
  <si>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</si>
  <si>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</si>
  <si>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</si>
  <si>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</si>
  <si>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</si>
  <si>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</si>
  <si>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</si>
  <si>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</si>
  <si>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</si>
  <si>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</si>
  <si>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</si>
  <si>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</si>
  <si>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</si>
  <si>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</si>
  <si>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</si>
  <si>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</si>
  <si>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</si>
  <si>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</si>
  <si>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</si>
  <si>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</si>
  <si>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</si>
  <si>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</si>
  <si>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</si>
  <si>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</si>
  <si>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</si>
  <si>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</si>
  <si>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</si>
  <si>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</si>
  <si>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</si>
  <si>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</si>
  <si>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</si>
  <si>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</si>
  <si>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</si>
  <si>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</si>
  <si>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</si>
  <si>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</si>
  <si>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</si>
  <si>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</si>
  <si>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</si>
  <si>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</si>
  <si>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</si>
  <si>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</si>
  <si>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</si>
  <si>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</si>
  <si>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</si>
  <si>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</si>
  <si>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</si>
  <si>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</si>
  <si>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</si>
  <si>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</si>
  <si>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</si>
  <si>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</si>
  <si>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</si>
  <si>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</si>
  <si>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</si>
  <si>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</si>
  <si>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</si>
  <si>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</si>
  <si>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</si>
  <si>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</si>
  <si>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</si>
  <si>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</si>
  <si>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</si>
  <si>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</si>
  <si>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</si>
  <si>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</si>
  <si>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</si>
  <si>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</si>
  <si>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</si>
  <si>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</si>
  <si>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</si>
  <si>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</si>
  <si>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</si>
  <si>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</si>
  <si>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</si>
  <si>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</si>
  <si>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</si>
  <si>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</si>
  <si>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</si>
  <si>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</si>
  <si>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</si>
  <si>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</si>
  <si>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</si>
  <si>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</si>
  <si>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</si>
  <si>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</si>
  <si>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</si>
  <si>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</si>
  <si>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</si>
  <si>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</si>
  <si>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</si>
  <si>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</si>
  <si>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</si>
  <si>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</si>
  <si>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</si>
  <si>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</si>
  <si>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</si>
  <si>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</si>
  <si>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</si>
  <si>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</si>
  <si>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</si>
  <si>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</si>
  <si>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</si>
  <si>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</si>
  <si>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</si>
  <si>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</si>
  <si>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</si>
  <si>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</si>
  <si>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</si>
  <si>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</si>
  <si>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</si>
  <si>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</si>
  <si>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</si>
  <si>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</si>
  <si>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</si>
  <si>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</si>
  <si>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</si>
  <si>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</si>
  <si>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</si>
  <si>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</si>
  <si>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</si>
  <si>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</si>
  <si>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</si>
  <si>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</si>
  <si>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</si>
  <si>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</si>
  <si>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</si>
  <si>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</si>
  <si>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</si>
  <si>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</si>
  <si>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</si>
  <si>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</si>
  <si>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</si>
  <si>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</si>
  <si>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</si>
  <si>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</si>
  <si>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</si>
  <si>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</si>
  <si>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</si>
  <si>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</si>
  <si>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</si>
  <si>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</si>
  <si>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</si>
  <si>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</si>
  <si>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</si>
  <si>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</si>
  <si>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</si>
  <si>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</si>
  <si>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</si>
  <si>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</si>
  <si>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</si>
  <si>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</si>
  <si>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</si>
  <si>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</si>
  <si>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</si>
  <si>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</si>
  <si>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</si>
  <si>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</si>
  <si>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</si>
  <si>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</si>
  <si>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</si>
  <si>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</si>
  <si>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</si>
  <si>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</si>
  <si>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</si>
  <si>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</si>
  <si>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</si>
  <si>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</si>
  <si>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</si>
  <si>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</si>
  <si>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</si>
  <si>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</si>
  <si>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</si>
  <si>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</si>
  <si>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</si>
  <si>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</si>
  <si>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</si>
  <si>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</si>
  <si>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</si>
  <si>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</si>
  <si>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</si>
  <si>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</si>
  <si>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</si>
  <si>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</si>
  <si>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</si>
  <si>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</si>
  <si>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</si>
  <si>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</si>
  <si>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</si>
  <si>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</si>
  <si>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</si>
  <si>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</si>
  <si>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</si>
  <si>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</si>
  <si>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</si>
  <si>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</si>
  <si>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</si>
  <si>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</si>
  <si>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</si>
  <si>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</si>
  <si>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</si>
  <si>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</si>
  <si>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</si>
  <si>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</si>
  <si>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</si>
  <si>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</si>
  <si>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</si>
  <si>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</si>
  <si>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</si>
  <si>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</si>
  <si>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</si>
  <si>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</si>
  <si>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</si>
  <si>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</si>
  <si>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</si>
  <si>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</si>
  <si>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</si>
  <si>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</si>
  <si>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</si>
  <si>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</si>
  <si>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</si>
  <si>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</si>
  <si>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</si>
  <si>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</si>
  <si>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</si>
  <si>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</si>
  <si>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</si>
  <si>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</si>
  <si>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</si>
  <si>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</si>
  <si>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</si>
  <si>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</si>
  <si>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</si>
  <si>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</si>
  <si>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</si>
  <si>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</si>
  <si>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</si>
  <si>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</si>
  <si>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</si>
  <si>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</si>
  <si>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</si>
  <si>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</si>
  <si>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</si>
  <si>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</si>
  <si>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</si>
  <si>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</si>
  <si>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</si>
  <si>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</si>
  <si>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</si>
  <si>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</si>
  <si>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</si>
  <si>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</si>
  <si>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</si>
  <si>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</si>
  <si>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</si>
  <si>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</si>
  <si>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</si>
  <si>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</si>
  <si>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</si>
  <si>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</si>
  <si>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</si>
  <si>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</si>
  <si>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</si>
  <si>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</si>
  <si>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</si>
  <si>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</si>
  <si>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</si>
  <si>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</si>
  <si>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</si>
  <si>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</si>
  <si>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</si>
  <si>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</si>
  <si>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</si>
  <si>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</si>
  <si>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</si>
  <si>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</si>
  <si>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</si>
  <si>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</si>
  <si>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</si>
  <si>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</si>
  <si>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</si>
  <si>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</si>
  <si>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</si>
  <si>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</si>
  <si>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</si>
  <si>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</si>
  <si>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</si>
  <si>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</si>
  <si>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</si>
  <si>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</si>
  <si>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</si>
  <si>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</si>
  <si>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</si>
  <si>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</si>
  <si>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</si>
  <si>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</si>
  <si>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</si>
  <si>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</si>
  <si>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</si>
  <si>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</si>
  <si>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</si>
  <si>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</si>
  <si>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</si>
  <si>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</si>
  <si>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</si>
  <si>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</si>
  <si>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</si>
  <si>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</si>
  <si>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</si>
  <si>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</si>
  <si>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</si>
  <si>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</si>
  <si>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</si>
  <si>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</si>
  <si>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</si>
  <si>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</si>
  <si>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</si>
  <si>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</si>
  <si>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</si>
  <si>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</si>
  <si>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</si>
  <si>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</si>
  <si>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</si>
  <si>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</si>
  <si>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</si>
  <si>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</si>
  <si>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</si>
  <si>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</si>
  <si>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</si>
  <si>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</si>
  <si>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</si>
  <si>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</si>
  <si>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</si>
  <si>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</si>
  <si>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</si>
  <si>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</si>
  <si>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</si>
  <si>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</si>
  <si>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</si>
  <si>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</si>
  <si>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</si>
  <si>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</si>
  <si>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</si>
  <si>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</si>
  <si>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</si>
  <si>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</si>
  <si>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</si>
  <si>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</si>
  <si>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</si>
  <si>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</si>
  <si>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</si>
  <si>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</si>
  <si>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</si>
  <si>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</si>
  <si>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</si>
  <si>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</si>
  <si>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</si>
  <si>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</si>
  <si>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</si>
  <si>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</si>
  <si>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</si>
  <si>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</si>
  <si>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</si>
  <si>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</si>
  <si>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</si>
  <si>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</si>
  <si>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</si>
  <si>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</si>
  <si>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</si>
  <si>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</si>
  <si>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</si>
  <si>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</si>
  <si>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</si>
  <si>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</si>
  <si>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</si>
  <si>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</si>
  <si>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</si>
  <si>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</si>
  <si>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</si>
  <si>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</si>
  <si>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</si>
  <si>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</si>
  <si>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</si>
  <si>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</si>
  <si>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</si>
  <si>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</si>
  <si>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</si>
  <si>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</si>
  <si>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</si>
  <si>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</si>
  <si>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</si>
  <si>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</si>
  <si>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</si>
  <si>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</si>
  <si>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</si>
  <si>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</si>
  <si>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</si>
  <si>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</si>
  <si>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</si>
  <si>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</si>
  <si>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</si>
  <si>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</si>
  <si>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</si>
  <si>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</si>
  <si>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</si>
  <si>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</si>
  <si>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</si>
  <si>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</si>
  <si>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</si>
  <si>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</si>
  <si>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</si>
  <si>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</si>
  <si>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</si>
  <si>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</si>
  <si>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</si>
  <si>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</si>
  <si>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</si>
  <si>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</si>
  <si>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</si>
  <si>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</si>
  <si>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</si>
  <si>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</si>
  <si>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</si>
  <si>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</si>
  <si>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</si>
  <si>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</si>
  <si>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</si>
  <si>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</si>
  <si>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</si>
  <si>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</si>
  <si>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</si>
  <si>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</si>
  <si>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</si>
  <si>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</si>
  <si>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</si>
  <si>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</si>
  <si>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</si>
  <si>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</si>
  <si>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</si>
  <si>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</si>
  <si>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</si>
  <si>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</si>
  <si>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</si>
  <si>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</si>
  <si>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</si>
  <si>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</si>
  <si>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</si>
  <si>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</si>
  <si>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</si>
  <si>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</si>
  <si>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</si>
  <si>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</si>
  <si>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</si>
  <si>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</si>
  <si>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</si>
  <si>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</si>
  <si>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</si>
  <si>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</si>
  <si>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</si>
  <si>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</si>
  <si>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</si>
  <si>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</si>
  <si>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</si>
  <si>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</si>
  <si>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</si>
  <si>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</si>
  <si>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</si>
  <si>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</si>
  <si>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</si>
  <si>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</si>
  <si>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</si>
  <si>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</si>
  <si>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</si>
  <si>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</si>
  <si>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</si>
  <si>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</si>
  <si>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</si>
  <si>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</si>
  <si>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</si>
  <si>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</si>
  <si>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</si>
  <si>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</si>
  <si>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</si>
  <si>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</si>
  <si>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</si>
  <si>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</si>
  <si>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</si>
  <si>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</si>
  <si>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</si>
  <si>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</si>
  <si>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</si>
  <si>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</si>
  <si>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</si>
  <si>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</si>
  <si>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</si>
  <si>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</si>
  <si>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</si>
  <si>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</si>
  <si>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</si>
  <si>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</si>
  <si>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</si>
  <si>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</si>
  <si>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</si>
  <si>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</si>
  <si>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</si>
  <si>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</si>
  <si>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</si>
  <si>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</si>
  <si>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</si>
  <si>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</si>
  <si>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</si>
  <si>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</si>
  <si>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</si>
  <si>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</si>
  <si>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</si>
  <si>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</si>
  <si>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</si>
  <si>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</si>
  <si>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</si>
  <si>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</si>
  <si>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</si>
  <si>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</si>
  <si>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</si>
  <si>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</si>
  <si>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</si>
  <si>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</si>
  <si>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</si>
  <si>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</si>
  <si>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</si>
  <si>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</si>
  <si>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</si>
  <si>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</si>
  <si>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</si>
  <si>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</si>
  <si>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</si>
  <si>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</si>
  <si>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</si>
  <si>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</si>
  <si>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</si>
  <si>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</si>
  <si>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</si>
  <si>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</si>
  <si>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</si>
  <si>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</si>
  <si>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</si>
  <si>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</si>
  <si>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</si>
  <si>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</si>
  <si>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</si>
  <si>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</si>
  <si>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</si>
  <si>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</si>
  <si>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</si>
  <si>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</si>
  <si>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</si>
  <si>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</si>
  <si>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</si>
  <si>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</si>
  <si>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</si>
  <si>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</si>
  <si>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</si>
  <si>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</si>
  <si>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</si>
  <si>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</si>
  <si>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</si>
  <si>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</si>
  <si>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</si>
  <si>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</si>
  <si>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</si>
  <si>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</si>
  <si>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</si>
  <si>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</si>
  <si>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</si>
  <si>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</si>
  <si>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</si>
  <si>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</si>
  <si>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</si>
  <si>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</si>
  <si>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</si>
  <si>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</si>
  <si>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</si>
  <si>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</si>
  <si>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</si>
  <si>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</si>
  <si>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</si>
  <si>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</si>
  <si>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</si>
  <si>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</si>
  <si>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</si>
  <si>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</si>
  <si>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</si>
  <si>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</si>
  <si>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</si>
  <si>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</si>
  <si>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</si>
  <si>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</si>
  <si>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</si>
  <si>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</si>
  <si>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</si>
  <si>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</si>
  <si>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</si>
  <si>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</si>
  <si>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</si>
  <si>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</si>
  <si>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</si>
  <si>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</si>
  <si>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</si>
  <si>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</si>
  <si>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</si>
  <si>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</si>
  <si>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</si>
  <si>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</si>
  <si>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</si>
  <si>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</si>
  <si>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</si>
  <si>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</si>
  <si>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</si>
  <si>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</si>
  <si>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</si>
  <si>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</si>
  <si>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</si>
  <si>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</si>
  <si>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</si>
  <si>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</si>
  <si>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</si>
  <si>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</si>
  <si>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</si>
  <si>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</si>
  <si>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</si>
  <si>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</si>
  <si>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</si>
  <si>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</si>
  <si>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</si>
  <si>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</si>
  <si>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</si>
  <si>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</si>
  <si>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</si>
  <si>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</si>
  <si>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</si>
  <si>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</si>
  <si>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</si>
  <si>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</si>
  <si>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</si>
  <si>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</si>
  <si>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</si>
  <si>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</si>
  <si>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</si>
  <si>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</si>
  <si>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</si>
  <si>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</si>
  <si>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</si>
  <si>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</si>
  <si>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</si>
  <si>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</si>
  <si>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</si>
  <si>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</si>
  <si>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</si>
  <si>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</si>
  <si>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</si>
  <si>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</si>
  <si>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</si>
  <si>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</si>
  <si>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</si>
  <si>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</si>
  <si>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</si>
  <si>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</si>
  <si>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</si>
  <si>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</si>
  <si>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</si>
  <si>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</si>
  <si>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</si>
  <si>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</si>
  <si>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</si>
  <si>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</si>
  <si>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</si>
  <si>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</si>
  <si>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</si>
  <si>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</si>
  <si>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</si>
  <si>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</si>
  <si>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</si>
  <si>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</si>
  <si>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</si>
  <si>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</si>
  <si>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</si>
  <si>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</si>
  <si>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</si>
  <si>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</si>
  <si>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</si>
  <si>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</si>
  <si>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</si>
  <si>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</si>
  <si>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</si>
  <si>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</si>
  <si>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</si>
  <si>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</si>
  <si>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</si>
  <si>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</si>
  <si>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</si>
  <si>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</si>
  <si>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</si>
  <si>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</si>
  <si>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</si>
  <si>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</si>
  <si>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</si>
  <si>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</si>
  <si>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</si>
  <si>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</si>
  <si>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</si>
  <si>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</si>
  <si>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</si>
  <si>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</si>
  <si>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</si>
  <si>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</si>
  <si>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</si>
  <si>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</si>
  <si>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</si>
  <si>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</si>
  <si>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</si>
  <si>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</si>
  <si>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</si>
  <si>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</si>
  <si>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</si>
  <si>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</si>
  <si>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</si>
  <si>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</si>
  <si>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</si>
  <si>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</si>
  <si>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</si>
  <si>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</si>
  <si>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</si>
  <si>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</si>
  <si>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</si>
  <si>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</si>
  <si>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</si>
  <si>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</si>
  <si>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</si>
  <si>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</si>
  <si>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</si>
  <si>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</si>
  <si>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</si>
  <si>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</si>
  <si>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</si>
  <si>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</si>
  <si>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</si>
  <si>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</si>
  <si>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</si>
  <si>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</si>
  <si>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</si>
  <si>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</si>
  <si>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</si>
  <si>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</si>
  <si>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</si>
  <si>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</si>
  <si>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</si>
  <si>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</si>
  <si>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</si>
  <si>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</si>
  <si>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</si>
  <si>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</si>
  <si>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</si>
  <si>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</si>
  <si>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</si>
  <si>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</si>
  <si>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</si>
  <si>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</si>
  <si>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</si>
  <si>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</si>
  <si>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</si>
  <si>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</si>
  <si>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</si>
  <si>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</si>
  <si>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</si>
  <si>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</si>
  <si>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</si>
  <si>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</si>
  <si>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</si>
  <si>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</si>
  <si>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</si>
  <si>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</si>
  <si>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</si>
  <si>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</si>
  <si>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</si>
  <si>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</si>
  <si>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</si>
  <si>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</si>
  <si>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</si>
  <si>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</si>
  <si>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</si>
  <si>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</si>
  <si>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</si>
  <si>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</si>
  <si>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</si>
  <si>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</si>
  <si>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</si>
  <si>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</si>
  <si>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</si>
  <si>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</si>
  <si>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</si>
  <si>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</si>
  <si>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</si>
  <si>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</si>
  <si>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</si>
  <si>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</si>
  <si>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</si>
  <si>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</si>
  <si>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</si>
  <si>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</si>
  <si>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</si>
  <si>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</si>
  <si>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</si>
  <si>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</si>
  <si>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</si>
  <si>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</si>
  <si>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</si>
  <si>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</si>
  <si>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</si>
  <si>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</si>
  <si>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</si>
  <si>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</si>
  <si>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</si>
  <si>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</si>
  <si>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</si>
  <si>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</si>
  <si>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</si>
  <si>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</si>
  <si>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</si>
  <si>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</si>
  <si>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</si>
  <si>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</si>
  <si>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</si>
  <si>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</si>
  <si>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</si>
  <si>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</si>
  <si>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</si>
  <si>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</si>
  <si>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</si>
  <si>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</si>
  <si>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</si>
  <si>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</si>
  <si>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</si>
  <si>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</si>
  <si>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</si>
  <si>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</si>
  <si>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</si>
  <si>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</si>
  <si>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</si>
  <si>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</si>
  <si>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</si>
  <si>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</si>
  <si>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</si>
  <si>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</si>
  <si>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</si>
  <si>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</si>
  <si>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</si>
  <si>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</si>
  <si>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</si>
  <si>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</si>
  <si>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</si>
  <si>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</si>
  <si>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</si>
  <si>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</si>
  <si>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</si>
  <si>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</si>
  <si>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</si>
  <si>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</si>
  <si>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</si>
  <si>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</si>
  <si>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</si>
  <si>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</si>
  <si>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</si>
  <si>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</si>
  <si>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</si>
  <si>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</si>
  <si>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</si>
  <si>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</si>
  <si>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</si>
  <si>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</si>
  <si>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</si>
  <si>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</si>
  <si>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</si>
  <si>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</si>
  <si>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</si>
  <si>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</si>
  <si>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</si>
  <si>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</si>
  <si>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</si>
  <si>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</si>
  <si>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</si>
  <si>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</si>
  <si>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</si>
  <si>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</si>
  <si>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</si>
  <si>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</si>
  <si>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</si>
  <si>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</si>
  <si>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</si>
  <si>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</si>
  <si>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</si>
  <si>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</si>
  <si>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</si>
  <si>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</si>
  <si>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</si>
  <si>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</si>
  <si>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</si>
  <si>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</si>
  <si>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</si>
  <si>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</si>
  <si>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</si>
  <si>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</si>
  <si>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</si>
  <si>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</si>
  <si>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</si>
  <si>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</si>
  <si>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</si>
  <si>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</si>
  <si>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</si>
  <si>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</si>
  <si>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</si>
  <si>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</si>
  <si>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</si>
  <si>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</si>
  <si>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</si>
  <si>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</si>
  <si>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</si>
  <si>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</si>
  <si>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</si>
  <si>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</si>
  <si>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</si>
  <si>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</si>
  <si>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</si>
  <si>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</si>
  <si>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</si>
  <si>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</si>
  <si>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</si>
  <si>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</si>
  <si>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</si>
  <si>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</si>
  <si>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</si>
  <si>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</si>
  <si>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</si>
  <si>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</si>
  <si>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</si>
  <si>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</si>
  <si>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</si>
  <si>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</si>
  <si>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</si>
  <si>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</si>
  <si>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</si>
  <si>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</si>
  <si>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</si>
  <si>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</si>
  <si>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</si>
  <si>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</si>
  <si>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</si>
  <si>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</si>
  <si>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</si>
  <si>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</si>
  <si>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</si>
  <si>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</si>
  <si>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</si>
  <si>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</si>
  <si>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</si>
  <si>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</si>
  <si>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</si>
  <si>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</si>
  <si>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</si>
  <si>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</si>
  <si>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</si>
  <si>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</si>
  <si>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</si>
  <si>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</si>
  <si>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</si>
  <si>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</si>
  <si>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</si>
  <si>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</si>
  <si>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</si>
  <si>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</si>
  <si>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</si>
  <si>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</si>
  <si>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</si>
  <si>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</si>
  <si>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</si>
  <si>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</si>
  <si>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</si>
  <si>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</si>
  <si>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</si>
  <si>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</si>
  <si>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</si>
  <si>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</si>
  <si>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</si>
  <si>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</si>
  <si>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</si>
  <si>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</si>
  <si>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</si>
  <si>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</si>
  <si>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</si>
  <si>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</si>
  <si>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</si>
  <si>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</si>
  <si>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</si>
  <si>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</si>
  <si>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</si>
  <si>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</si>
  <si>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</si>
  <si>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</si>
  <si>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</si>
  <si>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</si>
  <si>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</si>
  <si>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</si>
  <si>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</si>
  <si>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</si>
  <si>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</si>
  <si>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</si>
  <si>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</si>
  <si>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</si>
  <si>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</si>
  <si>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</si>
  <si>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</si>
  <si>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</si>
  <si>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</si>
  <si>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</si>
  <si>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</si>
  <si>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</si>
  <si>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</si>
  <si>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</si>
  <si>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</si>
  <si>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</si>
  <si>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</si>
  <si>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</si>
  <si>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</si>
  <si>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</si>
  <si>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</si>
  <si>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</si>
  <si>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</si>
  <si>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</si>
  <si>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</si>
  <si>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</si>
  <si>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</si>
  <si>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</si>
  <si>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</si>
  <si>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</si>
  <si>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</si>
  <si>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</si>
  <si>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</si>
  <si>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</si>
  <si>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</si>
  <si>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</si>
  <si>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</si>
  <si>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</si>
  <si>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</si>
  <si>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</si>
  <si>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</si>
  <si>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</si>
  <si>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</si>
  <si>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</si>
  <si>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</si>
  <si>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</si>
  <si>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</si>
  <si>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</si>
  <si>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</si>
  <si>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</si>
  <si>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</si>
  <si>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</si>
  <si>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</si>
  <si>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</si>
  <si>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</si>
  <si>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</si>
  <si>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</si>
  <si>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</si>
  <si>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</si>
  <si>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</si>
  <si>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</si>
  <si>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</si>
  <si>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</si>
  <si>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</si>
  <si>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</si>
  <si>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</si>
  <si>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</si>
  <si>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</si>
  <si>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</si>
  <si>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</si>
  <si>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</si>
  <si>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</si>
  <si>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</si>
  <si>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</si>
  <si>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</si>
  <si>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</si>
  <si>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</si>
  <si>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</si>
  <si>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</si>
  <si>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</si>
  <si>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</si>
  <si>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</si>
  <si>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</si>
  <si>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</si>
  <si>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</si>
  <si>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</si>
  <si>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</si>
  <si>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</si>
  <si>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</si>
  <si>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</si>
  <si>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</si>
  <si>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</si>
  <si>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</si>
  <si>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</si>
  <si>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</si>
  <si>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</si>
  <si>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</si>
  <si>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</si>
  <si>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</si>
  <si>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</si>
  <si>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</si>
  <si>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</si>
  <si>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</si>
  <si>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</si>
  <si>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</si>
  <si>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</si>
  <si>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</si>
  <si>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</si>
  <si>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</si>
  <si>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</si>
  <si>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</si>
  <si>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</si>
  <si>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</si>
  <si>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</si>
  <si>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</si>
  <si>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</si>
  <si>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</si>
  <si>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</si>
  <si>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</si>
  <si>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</si>
  <si>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</si>
  <si>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</si>
  <si>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</si>
  <si>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</si>
  <si>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</si>
  <si>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</si>
  <si>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</si>
  <si>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</si>
  <si>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</si>
  <si>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</si>
  <si>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</si>
  <si>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</si>
  <si>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</si>
  <si>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</si>
  <si>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</si>
  <si>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</si>
  <si>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</si>
  <si>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</si>
  <si>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</si>
  <si>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</si>
  <si>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</si>
  <si>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</si>
  <si>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</si>
  <si>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</si>
  <si>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</si>
  <si>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</si>
  <si>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</si>
  <si>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</si>
  <si>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</si>
  <si>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</si>
  <si>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</si>
  <si>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</si>
  <si>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</si>
  <si>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</si>
  <si>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</si>
  <si>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</si>
  <si>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</si>
  <si>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</si>
  <si>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</si>
  <si>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</si>
  <si>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</si>
  <si>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</si>
  <si>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</si>
  <si>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</si>
  <si>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</si>
  <si>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</si>
  <si>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</si>
  <si>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</si>
  <si>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</si>
  <si>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</si>
  <si>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</si>
  <si>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</si>
  <si>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</si>
  <si>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</si>
  <si>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</si>
  <si>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</si>
  <si>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</si>
  <si>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</si>
  <si>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</si>
  <si>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</si>
  <si>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</si>
  <si>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</si>
  <si>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</si>
  <si>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</si>
  <si>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</si>
  <si>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</si>
  <si>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</si>
  <si>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</si>
  <si>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</si>
  <si>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</si>
  <si>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</si>
  <si>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</si>
  <si>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</si>
  <si>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</si>
  <si>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</si>
  <si>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</si>
  <si>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</si>
  <si>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</si>
  <si>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</si>
  <si>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</si>
  <si>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</si>
  <si>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</si>
  <si>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</si>
  <si>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</si>
  <si>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</si>
  <si>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</si>
  <si>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</si>
  <si>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</si>
  <si>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</si>
  <si>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</si>
  <si>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</si>
  <si>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</si>
  <si>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</si>
  <si>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</si>
  <si>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</si>
  <si>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</si>
  <si>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</si>
  <si>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</si>
  <si>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</si>
  <si>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</si>
  <si>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</si>
  <si>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</si>
  <si>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</si>
  <si>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</si>
  <si>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</si>
  <si>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</si>
  <si>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</si>
  <si>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</si>
  <si>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</si>
  <si>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</si>
  <si>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</si>
  <si>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</si>
  <si>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</si>
  <si>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</si>
  <si>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</si>
  <si>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</si>
  <si>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</si>
  <si>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</si>
  <si>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</si>
  <si>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</si>
  <si>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</si>
  <si>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</si>
  <si>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</si>
  <si>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</si>
  <si>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</si>
  <si>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</si>
  <si>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</si>
  <si>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</si>
  <si>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</si>
  <si>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</si>
  <si>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</si>
  <si>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</si>
  <si>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</si>
  <si>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</si>
  <si>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</si>
  <si>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</si>
  <si>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</si>
  <si>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</si>
  <si>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</si>
  <si>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</si>
  <si>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</si>
  <si>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</si>
  <si>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</si>
  <si>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</si>
  <si>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</si>
  <si>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</si>
  <si>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</si>
  <si>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</si>
  <si>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</si>
  <si>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</si>
  <si>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</si>
  <si>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</si>
  <si>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</si>
  <si>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</si>
  <si>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</si>
  <si>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</si>
  <si>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</si>
  <si>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</si>
  <si>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</si>
  <si>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</si>
  <si>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</si>
  <si>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</si>
  <si>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</si>
  <si>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</si>
  <si>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</si>
  <si>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</si>
  <si>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</si>
  <si>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</si>
  <si>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</si>
  <si>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</si>
  <si>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</si>
  <si>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</si>
  <si>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</si>
  <si>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</si>
  <si>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</si>
  <si>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</si>
  <si>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</si>
  <si>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</si>
  <si>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</si>
  <si>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</si>
  <si>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</si>
  <si>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</si>
  <si>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</si>
  <si>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</si>
  <si>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</si>
  <si>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</si>
  <si>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</si>
  <si>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</si>
  <si>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</si>
  <si>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</si>
  <si>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</si>
  <si>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</si>
  <si>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</si>
  <si>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</si>
  <si>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</si>
  <si>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</si>
  <si>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</si>
  <si>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</si>
  <si>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</si>
  <si>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</si>
  <si>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</si>
  <si>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</si>
  <si>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</si>
  <si>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</si>
  <si>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</si>
  <si>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</si>
  <si>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</si>
  <si>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</si>
  <si>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</si>
  <si>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</si>
  <si>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</si>
  <si>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</si>
  <si>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</si>
  <si>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</si>
  <si>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</si>
  <si>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</si>
  <si>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</si>
  <si>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</si>
  <si>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</si>
  <si>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</si>
  <si>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</si>
  <si>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</si>
  <si>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</si>
  <si>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</si>
  <si>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</si>
  <si>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</si>
  <si>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</si>
  <si>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</si>
  <si>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</si>
  <si>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</si>
  <si>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</si>
  <si>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</si>
  <si>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</si>
  <si>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</si>
  <si>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</si>
  <si>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</si>
  <si>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</si>
  <si>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</si>
  <si>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</si>
  <si>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</si>
  <si>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</si>
  <si>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</si>
  <si>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</si>
  <si>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</si>
  <si>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</si>
  <si>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</si>
  <si>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</si>
  <si>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</si>
  <si>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</si>
  <si>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</si>
  <si>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</si>
  <si>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</si>
  <si>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</si>
  <si>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</si>
  <si>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</si>
  <si>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</si>
  <si>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</si>
  <si>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</si>
  <si>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</si>
  <si>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</si>
  <si>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</si>
  <si>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</si>
  <si>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</si>
  <si>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</si>
  <si>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</si>
  <si>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</si>
  <si>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</si>
  <si>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</si>
  <si>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</si>
  <si>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</si>
  <si>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</si>
  <si>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</si>
  <si>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</si>
  <si>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</si>
  <si>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</si>
  <si>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</si>
  <si>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</si>
  <si>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</si>
  <si>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</si>
  <si>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</si>
  <si>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</si>
  <si>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</si>
  <si>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</si>
  <si>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</si>
  <si>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</si>
  <si>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</si>
  <si>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</si>
  <si>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</si>
  <si>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</si>
  <si>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</si>
  <si>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</si>
  <si>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</si>
  <si>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</si>
  <si>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</si>
  <si>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</si>
  <si>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</si>
  <si>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</si>
  <si>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</si>
  <si>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</si>
  <si>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</si>
  <si>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</si>
  <si>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</si>
  <si>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</si>
  <si>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</si>
  <si>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</si>
  <si>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</si>
  <si>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</si>
  <si>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</si>
  <si>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</si>
  <si>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</si>
  <si>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</si>
  <si>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</si>
  <si>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</si>
  <si>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</si>
  <si>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</si>
  <si>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</si>
  <si>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</si>
  <si>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</si>
  <si>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</si>
  <si>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</si>
  <si>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</si>
  <si>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</si>
  <si>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</si>
  <si>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</si>
  <si>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</si>
  <si>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</si>
  <si>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</si>
  <si>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</si>
  <si>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</si>
  <si>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</si>
  <si>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</si>
  <si>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</si>
  <si>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</si>
  <si>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</si>
  <si>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</si>
  <si>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</si>
  <si>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</si>
  <si>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</si>
  <si>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</si>
  <si>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</si>
  <si>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</si>
  <si>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</si>
  <si>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</si>
  <si>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</si>
  <si>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</si>
  <si>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</si>
  <si>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</si>
  <si>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</si>
  <si>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</si>
  <si>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</si>
  <si>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</si>
  <si>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</si>
  <si>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</si>
  <si>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</si>
  <si>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</si>
  <si>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</si>
  <si>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</si>
  <si>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</si>
  <si>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</si>
  <si>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</si>
  <si>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</si>
  <si>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</si>
  <si>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</si>
  <si>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</si>
  <si>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</si>
  <si>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</si>
  <si>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</si>
  <si>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</si>
  <si>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</si>
  <si>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</si>
  <si>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</si>
  <si>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</si>
  <si>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</si>
  <si>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</si>
  <si>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</si>
  <si>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</si>
  <si>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</si>
  <si>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</si>
  <si>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</si>
  <si>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</si>
  <si>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</si>
  <si>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</si>
  <si>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</si>
  <si>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</si>
  <si>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</si>
  <si>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</si>
  <si>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</si>
  <si>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</si>
  <si>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</si>
  <si>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</si>
  <si>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</si>
  <si>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</si>
  <si>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</si>
  <si>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</si>
  <si>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</si>
  <si>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</si>
  <si>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</si>
  <si>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</si>
  <si>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</si>
  <si>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</si>
  <si>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</si>
  <si>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</si>
  <si>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</si>
  <si>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</si>
  <si>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</si>
  <si>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</si>
  <si>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</si>
  <si>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</si>
  <si>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</si>
  <si>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</si>
  <si>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</si>
  <si>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</si>
  <si>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</si>
  <si>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</si>
  <si>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</si>
  <si>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</si>
  <si>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</si>
  <si>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</si>
  <si>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</si>
  <si>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</si>
  <si>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</si>
  <si>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</si>
  <si>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</si>
  <si>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</si>
  <si>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</si>
  <si>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</si>
  <si>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</si>
  <si>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</si>
  <si>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</si>
  <si>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</si>
  <si>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</si>
  <si>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</si>
  <si>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</si>
  <si>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</si>
  <si>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</si>
  <si>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</si>
  <si>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</si>
  <si>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</si>
  <si>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</si>
  <si>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</si>
  <si>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</si>
  <si>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</si>
  <si>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</si>
  <si>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</si>
  <si>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</si>
  <si>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</si>
  <si>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</si>
  <si>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</si>
  <si>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</si>
  <si>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</si>
  <si>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</si>
  <si>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</si>
  <si>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</si>
  <si>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</si>
  <si>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</si>
  <si>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</si>
  <si>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</si>
  <si>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</si>
  <si>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</si>
  <si>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</si>
  <si>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</si>
  <si>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</si>
  <si>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</si>
  <si>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</si>
  <si>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</si>
  <si>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</si>
  <si>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</si>
  <si>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</si>
  <si>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</si>
  <si>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</si>
  <si>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</si>
  <si>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</si>
  <si>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</si>
  <si>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</si>
  <si>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</si>
  <si>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</si>
  <si>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</si>
  <si>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</si>
  <si>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</si>
  <si>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</si>
  <si>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</si>
  <si>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</si>
  <si>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</si>
  <si>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</si>
  <si>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</si>
  <si>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</si>
  <si>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</si>
  <si>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</si>
  <si>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</si>
  <si>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</si>
  <si>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</si>
  <si>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</si>
  <si>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</si>
  <si>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</si>
  <si>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</si>
  <si>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</si>
  <si>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</si>
  <si>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</si>
  <si>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</si>
  <si>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</si>
  <si>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</si>
  <si>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</si>
  <si>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</si>
  <si>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</si>
  <si>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</si>
  <si>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</si>
  <si>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</si>
  <si>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</si>
  <si>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</si>
  <si>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</si>
  <si>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</si>
  <si>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</si>
  <si>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</si>
  <si>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</si>
  <si>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</si>
  <si>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</si>
  <si>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</si>
  <si>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</si>
  <si>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</si>
  <si>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</si>
  <si>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</si>
  <si>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</si>
  <si>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</si>
  <si>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</si>
  <si>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</si>
  <si>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</si>
  <si>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</si>
  <si>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</si>
  <si>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</si>
  <si>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</si>
  <si>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</si>
  <si>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</si>
  <si>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</si>
  <si>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</si>
  <si>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</si>
  <si>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</si>
  <si>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</si>
  <si>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</si>
  <si>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</si>
  <si>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</si>
  <si>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</si>
  <si>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</si>
  <si>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</si>
  <si>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</si>
  <si>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</si>
  <si>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</si>
  <si>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</si>
  <si>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</si>
  <si>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</si>
  <si>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</si>
  <si>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</si>
  <si>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</si>
  <si>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</si>
  <si>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</si>
  <si>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</si>
  <si>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</si>
  <si>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</si>
  <si>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</si>
  <si>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</si>
  <si>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</si>
  <si>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</si>
  <si>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</si>
  <si>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</si>
  <si>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</si>
  <si>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</si>
  <si>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</si>
  <si>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</si>
  <si>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</si>
  <si>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</si>
  <si>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</si>
  <si>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</si>
  <si>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</si>
  <si>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</si>
  <si>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</si>
  <si>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</si>
  <si>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</si>
  <si>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</si>
  <si>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</si>
  <si>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</si>
  <si>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</si>
  <si>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</si>
  <si>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</si>
  <si>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</si>
  <si>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</si>
  <si>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</si>
  <si>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</si>
  <si>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</si>
  <si>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</si>
  <si>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</si>
  <si>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</si>
  <si>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</si>
  <si>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</si>
  <si>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</si>
  <si>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</si>
  <si>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</si>
  <si>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</si>
  <si>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</si>
  <si>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</si>
  <si>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</si>
  <si>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</si>
  <si>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</si>
  <si>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</si>
  <si>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</si>
  <si>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</si>
  <si>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</si>
  <si>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</si>
  <si>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</si>
  <si>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</si>
  <si>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</si>
  <si>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</si>
  <si>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</si>
  <si>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</si>
  <si>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</si>
  <si>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</si>
  <si>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</si>
  <si>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</si>
  <si>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</si>
  <si>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</si>
  <si>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</si>
  <si>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</si>
  <si>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</si>
  <si>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</si>
  <si>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</si>
  <si>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</si>
  <si>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</si>
  <si>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</si>
  <si>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</si>
  <si>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</si>
  <si>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</si>
  <si>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</si>
  <si>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</si>
  <si>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</si>
  <si>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</si>
  <si>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</si>
  <si>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</si>
  <si>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</si>
  <si>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</si>
  <si>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</si>
  <si>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</si>
  <si>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</si>
  <si>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</si>
  <si>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</si>
  <si>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</si>
  <si>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</si>
  <si>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</si>
  <si>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</si>
  <si>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</si>
  <si>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</si>
  <si>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</si>
  <si>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</si>
  <si>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</si>
  <si>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</si>
  <si>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</si>
  <si>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</si>
  <si>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</si>
  <si>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</si>
  <si>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</si>
  <si>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</si>
  <si>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</si>
  <si>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</si>
  <si>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</si>
  <si>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</si>
  <si>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</si>
  <si>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</si>
  <si>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</si>
  <si>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</si>
  <si>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</si>
  <si>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</si>
  <si>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</si>
  <si>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</si>
  <si>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</si>
  <si>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</si>
  <si>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</si>
  <si>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</si>
  <si>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</si>
  <si>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</si>
  <si>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</si>
  <si>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</si>
  <si>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</si>
  <si>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</si>
  <si>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</si>
  <si>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</si>
  <si>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</si>
  <si>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</si>
  <si>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</si>
  <si>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</si>
  <si>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</si>
  <si>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</si>
  <si>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</si>
  <si>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</si>
  <si>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</si>
  <si>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</si>
  <si>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</si>
  <si>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</si>
  <si>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</si>
  <si>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</si>
  <si>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</si>
  <si>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</si>
  <si>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</si>
  <si>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</si>
  <si>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</si>
  <si>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</si>
  <si>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</si>
  <si>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</si>
  <si>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</si>
  <si>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</si>
  <si>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</si>
  <si>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</si>
  <si>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</si>
  <si>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</si>
  <si>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</si>
  <si>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</si>
  <si>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</si>
  <si>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</si>
  <si>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</si>
  <si>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</si>
  <si>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</si>
  <si>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</si>
  <si>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</si>
  <si>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</si>
  <si>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</si>
  <si>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</si>
  <si>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</si>
  <si>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</si>
  <si>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</si>
  <si>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</si>
  <si>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</si>
  <si>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</si>
  <si>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</si>
  <si>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</si>
  <si>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</si>
  <si>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</si>
  <si>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</si>
  <si>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</si>
  <si>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</si>
  <si>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</si>
  <si>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</si>
  <si>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</si>
  <si>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</si>
  <si>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</si>
  <si>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</si>
  <si>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</si>
  <si>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</si>
  <si>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</si>
  <si>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</si>
  <si>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</si>
  <si>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</si>
  <si>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</si>
  <si>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</si>
  <si>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</si>
  <si>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</si>
  <si>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</si>
  <si>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</si>
  <si>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</si>
  <si>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</si>
  <si>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</si>
  <si>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</si>
  <si>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</si>
  <si>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</si>
  <si>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</si>
  <si>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</si>
  <si>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</si>
  <si>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</si>
  <si>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</si>
  <si>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</si>
  <si>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</si>
  <si>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</si>
  <si>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</si>
  <si>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</si>
  <si>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</si>
  <si>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</si>
  <si>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</si>
  <si>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</si>
  <si>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</si>
  <si>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</si>
  <si>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</si>
  <si>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</si>
  <si>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</si>
  <si>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</si>
  <si>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</si>
  <si>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</si>
  <si>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</si>
  <si>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</si>
  <si>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</si>
  <si>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</si>
  <si>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</si>
  <si>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</si>
  <si>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</si>
  <si>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</si>
  <si>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</si>
  <si>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</si>
  <si>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</si>
  <si>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</si>
  <si>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</si>
  <si>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</si>
  <si>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</si>
  <si>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</si>
  <si>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</si>
  <si>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</si>
  <si>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</si>
  <si>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</si>
  <si>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</si>
  <si>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</si>
  <si>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</si>
  <si>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</si>
  <si>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</si>
  <si>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</si>
  <si>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</si>
  <si>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</si>
  <si>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</si>
  <si>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</si>
  <si>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</si>
  <si>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</si>
  <si>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</si>
  <si>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</si>
  <si>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</si>
  <si>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</si>
  <si>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</si>
  <si>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</si>
  <si>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</si>
  <si>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</si>
  <si>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</si>
  <si>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</si>
  <si>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</si>
  <si>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</si>
  <si>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</si>
  <si>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</si>
  <si>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</si>
  <si>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</si>
  <si>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</si>
  <si>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</si>
  <si>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</si>
  <si>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</si>
  <si>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</si>
  <si>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</si>
  <si>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</si>
  <si>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</si>
  <si>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</si>
  <si>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</si>
  <si>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</si>
  <si>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</si>
  <si>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</si>
  <si>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</si>
  <si>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</si>
  <si>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</si>
  <si>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</si>
  <si>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</si>
  <si>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</si>
  <si>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</si>
  <si>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</si>
  <si>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</si>
  <si>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</si>
  <si>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</si>
  <si>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</si>
  <si>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</si>
  <si>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</si>
  <si>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</si>
  <si>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</si>
  <si>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</si>
  <si>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</si>
  <si>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</si>
  <si>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</si>
  <si>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</si>
  <si>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</si>
  <si>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</si>
  <si>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</si>
  <si>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</si>
  <si>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</si>
  <si>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</si>
  <si>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</si>
  <si>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</si>
  <si>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</si>
  <si>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</si>
  <si>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</si>
  <si>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</si>
  <si>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</si>
  <si>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</si>
  <si>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</si>
  <si>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</si>
  <si>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</si>
  <si>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</si>
  <si>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</si>
  <si>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</si>
  <si>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</si>
  <si>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</si>
  <si>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</si>
  <si>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</si>
  <si>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</si>
  <si>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</si>
  <si>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</si>
  <si>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</si>
  <si>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</si>
  <si>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</si>
  <si>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</si>
  <si>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</si>
  <si>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</si>
  <si>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</si>
  <si>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</si>
  <si>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</si>
  <si>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</si>
  <si>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</si>
  <si>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</si>
  <si>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</si>
  <si>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</si>
  <si>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</si>
  <si>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</si>
  <si>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</si>
  <si>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</si>
  <si>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</si>
  <si>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</si>
  <si>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</si>
  <si>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</si>
  <si>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</si>
  <si>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</si>
  <si>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</si>
  <si>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</si>
  <si>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</si>
  <si>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</si>
  <si>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</si>
  <si>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</si>
  <si>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</si>
  <si>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</si>
  <si>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</si>
  <si>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</si>
  <si>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</si>
  <si>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</si>
  <si>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</si>
  <si>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</si>
  <si>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</si>
  <si>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</si>
  <si>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</si>
  <si>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</si>
  <si>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</si>
  <si>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</si>
  <si>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</si>
  <si>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</si>
  <si>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</si>
  <si>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</si>
  <si>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</si>
  <si>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</si>
  <si>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</si>
  <si>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</si>
  <si>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</si>
  <si>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</si>
  <si>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</si>
  <si>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</si>
  <si>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</si>
  <si>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</si>
  <si>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</si>
  <si>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</si>
  <si>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</si>
  <si>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</si>
  <si>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</si>
  <si>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</si>
  <si>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</si>
  <si>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</si>
  <si>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</si>
  <si>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</si>
  <si>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</si>
  <si>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</si>
  <si>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</si>
  <si>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</si>
  <si>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</si>
  <si>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</si>
  <si>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</si>
  <si>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</si>
  <si>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</si>
  <si>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</si>
  <si>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</si>
  <si>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</si>
  <si>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</si>
  <si>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</si>
  <si>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</si>
  <si>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</si>
  <si>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</si>
  <si>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</si>
  <si>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</si>
  <si>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</si>
  <si>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</si>
  <si>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</si>
  <si>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</si>
  <si>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</si>
  <si>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</si>
  <si>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</si>
  <si>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</si>
  <si>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</si>
  <si>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</si>
  <si>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</si>
  <si>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</si>
  <si>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</si>
  <si>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</si>
  <si>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</si>
  <si>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</si>
  <si>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</si>
  <si>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</si>
  <si>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</si>
  <si>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</si>
  <si>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</si>
  <si>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</si>
  <si>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</si>
  <si>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</si>
  <si>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</si>
  <si>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</si>
  <si>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</si>
  <si>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</si>
  <si>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</si>
  <si>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</si>
  <si>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</si>
  <si>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</si>
  <si>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</si>
  <si>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</si>
  <si>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</si>
  <si>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</si>
  <si>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</si>
  <si>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</si>
  <si>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</si>
  <si>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</si>
  <si>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</si>
  <si>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</si>
  <si>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</si>
  <si>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</si>
  <si>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</si>
  <si>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</si>
  <si>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</si>
  <si>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</si>
  <si>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</si>
  <si>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</si>
  <si>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</si>
  <si>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</si>
  <si>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</si>
  <si>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</si>
  <si>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</si>
  <si>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</si>
  <si>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</si>
  <si>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</si>
  <si>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</si>
  <si>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</si>
  <si>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</si>
  <si>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</si>
  <si>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</si>
  <si>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</si>
  <si>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</si>
  <si>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</si>
  <si>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</si>
  <si>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</si>
  <si>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</si>
  <si>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</si>
  <si>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</si>
  <si>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</si>
  <si>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</si>
  <si>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</si>
  <si>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</si>
  <si>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</si>
  <si>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</si>
  <si>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</si>
  <si>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</si>
  <si>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</si>
  <si>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</si>
  <si>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</si>
  <si>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</si>
  <si>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</si>
  <si>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</si>
  <si>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</si>
  <si>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</si>
  <si>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</si>
  <si>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</si>
  <si>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</si>
  <si>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</si>
  <si>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</si>
  <si>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</si>
  <si>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</si>
  <si>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</si>
  <si>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</si>
  <si>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</si>
  <si>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</si>
  <si>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</si>
  <si>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</si>
  <si>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</si>
  <si>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</si>
  <si>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</si>
  <si>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</si>
  <si>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</si>
  <si>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</si>
  <si>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</si>
  <si>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</si>
  <si>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</si>
  <si>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</si>
  <si>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</si>
  <si>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</si>
  <si>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</si>
  <si>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</si>
  <si>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</si>
  <si>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</si>
  <si>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</si>
  <si>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</si>
  <si>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</si>
  <si>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</si>
  <si>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</si>
  <si>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</si>
  <si>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</si>
  <si>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</si>
  <si>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</si>
  <si>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</si>
  <si>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</si>
  <si>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</si>
  <si>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</si>
  <si>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</si>
  <si>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</si>
  <si>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</si>
  <si>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</si>
  <si>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</si>
  <si>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</si>
  <si>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</si>
  <si>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</si>
  <si>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</si>
  <si>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</si>
  <si>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</si>
  <si>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</si>
  <si>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</si>
  <si>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</si>
  <si>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</si>
  <si>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</si>
  <si>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</si>
  <si>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</si>
  <si>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</si>
  <si>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</si>
  <si>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</si>
  <si>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</si>
  <si>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</si>
  <si>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</si>
  <si>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</si>
  <si>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</si>
  <si>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</si>
  <si>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</si>
  <si>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</si>
  <si>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</si>
  <si>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</si>
  <si>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</si>
  <si>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</si>
  <si>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</si>
  <si>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</si>
  <si>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</si>
  <si>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</si>
  <si>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</si>
  <si>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</si>
  <si>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</si>
  <si>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</si>
  <si>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</si>
  <si>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</si>
  <si>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</si>
  <si>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</si>
  <si>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</si>
  <si>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</si>
  <si>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</si>
  <si>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</si>
  <si>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</si>
  <si>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</si>
  <si>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</si>
  <si>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</si>
  <si>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</si>
  <si>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</si>
  <si>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</si>
  <si>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</si>
  <si>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</si>
  <si>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</si>
  <si>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</si>
  <si>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</si>
  <si>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</si>
  <si>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</si>
  <si>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</si>
  <si>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</si>
  <si>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</si>
  <si>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</si>
  <si>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</si>
  <si>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</si>
  <si>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</si>
  <si>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</si>
  <si>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</si>
  <si>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</si>
  <si>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</si>
  <si>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</si>
  <si>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</si>
  <si>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</si>
  <si>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</si>
  <si>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</si>
  <si>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</si>
  <si>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</si>
  <si>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</si>
  <si>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</si>
  <si>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</si>
  <si>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</si>
  <si>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</si>
  <si>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</si>
  <si>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</si>
  <si>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</si>
  <si>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</si>
  <si>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</si>
  <si>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</si>
  <si>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</si>
  <si>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</si>
  <si>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</si>
  <si>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</si>
  <si>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</si>
  <si>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</si>
  <si>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</si>
  <si>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</si>
  <si>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</si>
  <si>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</si>
  <si>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</si>
  <si>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</si>
  <si>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</si>
  <si>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</si>
  <si>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</si>
  <si>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</si>
  <si>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</si>
  <si>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</si>
  <si>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</si>
  <si>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</si>
  <si>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</si>
  <si>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</si>
  <si>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</si>
  <si>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</si>
  <si>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</si>
  <si>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</si>
  <si>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</si>
  <si>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</si>
  <si>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</si>
  <si>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</si>
  <si>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</si>
  <si>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</si>
  <si>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</si>
  <si>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</si>
  <si>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</si>
  <si>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</si>
  <si>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</si>
  <si>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</si>
  <si>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</si>
  <si>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</si>
  <si>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</si>
  <si>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</si>
  <si>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</si>
  <si>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</si>
  <si>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</si>
  <si>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</si>
  <si>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</si>
  <si>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</si>
  <si>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</si>
  <si>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</si>
  <si>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</si>
  <si>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</si>
  <si>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</si>
  <si>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</si>
  <si>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</si>
  <si>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</si>
  <si>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</si>
  <si>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</si>
  <si>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</si>
  <si>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</si>
  <si>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</si>
  <si>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</si>
  <si>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</si>
  <si>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</si>
  <si>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</si>
  <si>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</si>
  <si>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</si>
  <si>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</si>
  <si>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</si>
  <si>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</si>
  <si>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</si>
  <si>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</si>
  <si>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</si>
  <si>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</si>
  <si>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</si>
  <si>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</si>
  <si>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</si>
  <si>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</si>
  <si>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</si>
  <si>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</si>
  <si>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</si>
  <si>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</si>
  <si>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</si>
  <si>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</si>
  <si>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</si>
  <si>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</si>
  <si>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</si>
  <si>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</si>
  <si>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</si>
  <si>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</si>
  <si>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</si>
  <si>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</si>
  <si>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</si>
  <si>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</si>
  <si>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</si>
  <si>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</si>
  <si>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</si>
  <si>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</si>
  <si>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</si>
  <si>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</si>
  <si>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</si>
  <si>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</si>
  <si>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</si>
  <si>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</si>
  <si>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</si>
  <si>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</si>
  <si>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</si>
  <si>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</si>
  <si>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</si>
  <si>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</si>
  <si>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</si>
  <si>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</si>
  <si>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</si>
  <si>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</si>
  <si>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</si>
  <si>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</si>
  <si>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</si>
  <si>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</si>
  <si>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</si>
  <si>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</si>
  <si>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</si>
  <si>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</si>
  <si>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</si>
  <si>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</si>
  <si>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</si>
  <si>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</si>
  <si>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</si>
  <si>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</si>
  <si>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</si>
  <si>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</si>
  <si>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</si>
  <si>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</si>
  <si>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</si>
  <si>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</si>
  <si>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</si>
  <si>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</si>
  <si>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</si>
  <si>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</si>
  <si>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</si>
  <si>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</si>
  <si>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</si>
  <si>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</si>
  <si>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</si>
  <si>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</si>
  <si>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</si>
  <si>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</si>
  <si>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</si>
  <si>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</si>
  <si>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</si>
  <si>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</si>
  <si>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</si>
  <si>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</si>
  <si>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</si>
  <si>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</si>
  <si>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</si>
  <si>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</si>
  <si>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</si>
  <si>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</si>
  <si>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</si>
  <si>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</si>
  <si>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</si>
  <si>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</si>
  <si>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</si>
  <si>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</si>
  <si>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</si>
  <si>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</si>
  <si>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</si>
  <si>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</si>
  <si>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</si>
  <si>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</si>
  <si>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</si>
  <si>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</si>
  <si>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</si>
  <si>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</si>
  <si>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</si>
  <si>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</si>
  <si>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</si>
  <si>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</si>
  <si>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</si>
  <si>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</si>
  <si>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</si>
  <si>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</si>
  <si>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</si>
  <si>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</si>
  <si>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</si>
  <si>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</si>
  <si>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</si>
  <si>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</si>
  <si>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</si>
  <si>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</si>
  <si>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</si>
  <si>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</si>
  <si>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</si>
  <si>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</si>
  <si>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</si>
  <si>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</si>
  <si>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</si>
  <si>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</si>
  <si>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</si>
  <si>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</si>
  <si>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</si>
  <si>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</si>
  <si>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</si>
  <si>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</si>
  <si>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</si>
  <si>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</si>
  <si>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</si>
  <si>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</si>
  <si>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</si>
  <si>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</si>
  <si>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</si>
  <si>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</si>
  <si>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</si>
  <si>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</si>
  <si>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</si>
  <si>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</si>
  <si>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</si>
  <si>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</si>
  <si>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</si>
  <si>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</si>
  <si>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</si>
  <si>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</si>
  <si>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</si>
  <si>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</si>
  <si>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</si>
  <si>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</si>
  <si>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</si>
  <si>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</si>
  <si>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</si>
  <si>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</si>
  <si>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</si>
  <si>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</si>
  <si>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</si>
  <si>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</si>
  <si>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</si>
  <si>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</si>
  <si>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</si>
  <si>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</si>
  <si>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</si>
  <si>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</si>
  <si>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</si>
  <si>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</si>
  <si>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</si>
  <si>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</si>
  <si>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</si>
  <si>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</si>
  <si>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</si>
  <si>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</si>
  <si>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</si>
  <si>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</si>
  <si>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</si>
  <si>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</si>
  <si>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</si>
  <si>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</si>
  <si>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</si>
  <si>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</si>
  <si>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</si>
  <si>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</si>
  <si>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</si>
  <si>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</si>
  <si>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</si>
  <si>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</si>
  <si>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</si>
  <si>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</si>
  <si>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</si>
  <si>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</si>
  <si>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</si>
  <si>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</si>
  <si>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</si>
  <si>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</si>
  <si>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</si>
  <si>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</si>
  <si>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</si>
  <si>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</si>
  <si>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</si>
  <si>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</si>
  <si>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</si>
  <si>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</si>
  <si>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</si>
  <si>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</si>
  <si>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</si>
  <si>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</si>
  <si>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</si>
  <si>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</si>
  <si>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</si>
  <si>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</si>
  <si>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</si>
  <si>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</si>
  <si>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</si>
  <si>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</si>
  <si>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</si>
  <si>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</si>
  <si>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</si>
  <si>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</si>
  <si>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</si>
  <si>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</si>
  <si>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</si>
  <si>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</si>
  <si>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</si>
  <si>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</si>
  <si>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</si>
  <si>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</si>
  <si>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</si>
  <si>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</si>
  <si>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</si>
  <si>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</si>
  <si>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</si>
  <si>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</si>
  <si>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</si>
  <si>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</si>
  <si>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</si>
  <si>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</si>
  <si>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</si>
  <si>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</si>
  <si>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</si>
  <si>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</si>
  <si>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</si>
  <si>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</si>
  <si>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</si>
  <si>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</si>
  <si>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</si>
  <si>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</si>
  <si>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</si>
  <si>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</si>
  <si>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</si>
  <si>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</si>
  <si>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</si>
  <si>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</si>
  <si>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</si>
  <si>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</si>
  <si>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</si>
  <si>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</si>
  <si>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</si>
  <si>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</si>
  <si>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</si>
  <si>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</si>
  <si>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</si>
  <si>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</si>
  <si>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</si>
  <si>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</si>
  <si>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</si>
  <si>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</si>
  <si>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</si>
  <si>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</si>
  <si>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</si>
  <si>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</si>
  <si>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</si>
  <si>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</si>
  <si>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</si>
  <si>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</si>
  <si>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</si>
  <si>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</si>
  <si>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</si>
  <si>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</si>
  <si>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</si>
  <si>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</si>
  <si>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</si>
  <si>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</si>
  <si>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</si>
  <si>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</si>
  <si>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</si>
  <si>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</si>
  <si>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</si>
  <si>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</si>
  <si>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</si>
  <si>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</si>
  <si>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</si>
  <si>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</si>
  <si>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</si>
  <si>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</si>
  <si>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</si>
  <si>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</si>
  <si>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</si>
  <si>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</si>
  <si>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</si>
  <si>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</si>
  <si>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</si>
  <si>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</si>
  <si>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</si>
  <si>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</si>
  <si>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</si>
  <si>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</si>
  <si>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</si>
  <si>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</si>
  <si>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</si>
  <si>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</si>
  <si>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</si>
  <si>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</si>
  <si>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</si>
  <si>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</si>
  <si>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</si>
  <si>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</si>
  <si>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</si>
  <si>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</si>
  <si>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</si>
  <si>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</si>
  <si>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</si>
  <si>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</si>
  <si>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</si>
  <si>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</si>
  <si>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</si>
  <si>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</si>
  <si>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</si>
  <si>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</si>
  <si>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</si>
  <si>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</si>
  <si>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</si>
  <si>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</si>
  <si>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</si>
  <si>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</si>
  <si>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</si>
  <si>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</si>
  <si>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</si>
  <si>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</si>
  <si>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</si>
  <si>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</si>
  <si>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</si>
  <si>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</si>
  <si>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</si>
  <si>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</si>
  <si>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</si>
  <si>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</si>
  <si>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</si>
  <si>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</si>
  <si>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</si>
  <si>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</si>
  <si>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</si>
  <si>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</si>
  <si>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</si>
  <si>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</si>
  <si>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</si>
  <si>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</si>
  <si>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</si>
  <si>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</si>
  <si>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</si>
  <si>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</si>
  <si>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</si>
  <si>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</si>
  <si>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</si>
  <si>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</si>
  <si>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</si>
  <si>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</si>
  <si>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</si>
  <si>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</si>
  <si>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</si>
  <si>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</si>
  <si>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</si>
  <si>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</si>
  <si>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</si>
  <si>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</si>
  <si>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</si>
  <si>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</si>
  <si>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</si>
  <si>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</si>
  <si>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</si>
  <si>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</si>
  <si>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</si>
  <si>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</si>
  <si>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</si>
  <si>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</si>
  <si>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</si>
  <si>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</si>
  <si>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</si>
  <si>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</si>
  <si>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</si>
  <si>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</si>
  <si>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</si>
  <si>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</si>
  <si>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</si>
  <si>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</si>
  <si>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</si>
  <si>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</si>
  <si>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</si>
  <si>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</si>
  <si>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</si>
  <si>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</si>
  <si>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</si>
  <si>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</si>
  <si>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</si>
  <si>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</si>
  <si>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</si>
  <si>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</si>
  <si>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</si>
  <si>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</si>
  <si>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</si>
  <si>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</si>
  <si>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</si>
  <si>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</si>
  <si>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</si>
  <si>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</si>
  <si>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</si>
  <si>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</si>
  <si>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</si>
  <si>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</si>
  <si>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</si>
  <si>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</si>
  <si>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</si>
  <si>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</si>
  <si>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</si>
  <si>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</si>
  <si>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</si>
  <si>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</si>
  <si>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</si>
  <si>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</si>
  <si>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</si>
  <si>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</si>
  <si>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</si>
  <si>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</si>
  <si>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</si>
  <si>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</si>
  <si>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</si>
  <si>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</si>
  <si>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</si>
  <si>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</si>
  <si>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</si>
  <si>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</si>
  <si>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</si>
  <si>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</si>
  <si>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</si>
  <si>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</si>
  <si>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</si>
  <si>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</si>
  <si>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</si>
  <si>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</si>
  <si>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</si>
  <si>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</si>
  <si>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</si>
  <si>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</si>
  <si>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</si>
  <si>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</si>
  <si>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</si>
  <si>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</si>
  <si>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</si>
  <si>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</si>
  <si>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</si>
  <si>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</si>
  <si>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</si>
  <si>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</si>
  <si>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</si>
  <si>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</si>
  <si>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</si>
  <si>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</si>
  <si>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</si>
  <si>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</si>
  <si>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</si>
  <si>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</si>
  <si>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</si>
  <si>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</si>
  <si>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</si>
  <si>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</si>
  <si>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</si>
  <si>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</si>
  <si>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</si>
  <si>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</si>
  <si>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</si>
  <si>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</si>
  <si>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</si>
  <si>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</si>
  <si>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</si>
  <si>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</si>
  <si>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</si>
  <si>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</si>
  <si>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</si>
  <si>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</si>
  <si>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</si>
  <si>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</si>
  <si>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</si>
  <si>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</si>
  <si>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</si>
  <si>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</si>
  <si>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</si>
  <si>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</si>
  <si>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</si>
  <si>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</si>
  <si>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</si>
  <si>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</si>
  <si>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</si>
  <si>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</si>
  <si>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</si>
  <si>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</si>
  <si>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</si>
  <si>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</si>
  <si>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</si>
  <si>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</si>
  <si>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</si>
  <si>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</si>
  <si>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</si>
  <si>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</si>
  <si>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</si>
  <si>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</si>
  <si>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</si>
  <si>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</si>
  <si>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</si>
  <si>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</si>
  <si>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</si>
  <si>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</si>
  <si>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</si>
  <si>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</si>
  <si>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</si>
  <si>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</si>
  <si>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</si>
  <si>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</si>
  <si>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</si>
  <si>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</si>
  <si>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</si>
  <si>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</si>
  <si>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</si>
  <si>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</si>
  <si>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</si>
  <si>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</si>
  <si>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</si>
  <si>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</si>
  <si>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</si>
  <si>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</si>
  <si>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</si>
  <si>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</si>
  <si>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</si>
  <si>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</si>
  <si>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</si>
  <si>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</si>
  <si>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</si>
  <si>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</si>
  <si>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</si>
  <si>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</si>
  <si>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</si>
  <si>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</si>
  <si>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</si>
  <si>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</si>
  <si>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</si>
  <si>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</si>
  <si>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</si>
  <si>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</si>
  <si>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</si>
  <si>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</si>
  <si>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</si>
  <si>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</si>
  <si>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</si>
  <si>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</si>
  <si>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</si>
  <si>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</si>
  <si>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</si>
  <si>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</si>
  <si>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</si>
  <si>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</si>
  <si>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</si>
  <si>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</si>
  <si>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</si>
  <si>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</si>
  <si>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</si>
  <si>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</si>
  <si>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</si>
  <si>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</si>
  <si>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</si>
  <si>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</si>
  <si>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</si>
  <si>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</si>
  <si>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</si>
  <si>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</si>
  <si>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</si>
  <si>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</si>
  <si>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</si>
  <si>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</si>
  <si>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</si>
  <si>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</si>
  <si>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</si>
  <si>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</si>
  <si>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</si>
  <si>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</si>
  <si>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</si>
  <si>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</si>
  <si>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</si>
  <si>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</si>
  <si>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</si>
  <si>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</si>
  <si>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</si>
  <si>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</si>
  <si>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</si>
  <si>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</si>
  <si>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</si>
  <si>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</si>
  <si>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</si>
  <si>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</si>
  <si>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</si>
  <si>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</si>
  <si>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</si>
  <si>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</si>
  <si>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</si>
  <si>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</si>
  <si>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</si>
  <si>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</si>
  <si>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</si>
  <si>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</si>
  <si>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</si>
  <si>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</si>
  <si>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</si>
  <si>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</si>
  <si>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</si>
  <si>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</si>
  <si>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</si>
  <si>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</si>
  <si>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</si>
  <si>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</si>
  <si>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</si>
  <si>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</si>
  <si>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</si>
  <si>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</si>
  <si>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</si>
  <si>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</si>
  <si>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</si>
  <si>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</si>
  <si>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</si>
  <si>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</si>
  <si>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</si>
  <si>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</si>
  <si>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</si>
  <si>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</si>
  <si>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</si>
  <si>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</si>
  <si>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</si>
  <si>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</si>
  <si>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</si>
  <si>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</si>
  <si>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</si>
  <si>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</si>
  <si>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</si>
  <si>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</si>
  <si>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</si>
  <si>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</si>
  <si>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</si>
  <si>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</si>
  <si>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</si>
  <si>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</si>
  <si>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</si>
  <si>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</si>
  <si>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</si>
  <si>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</si>
  <si>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</si>
  <si>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</si>
  <si>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</si>
  <si>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</si>
  <si>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</si>
  <si>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</si>
  <si>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</si>
  <si>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</si>
  <si>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</si>
  <si>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</si>
  <si>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</si>
  <si>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</si>
  <si>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</si>
  <si>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</si>
  <si>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</si>
  <si>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</si>
  <si>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</si>
  <si>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</si>
  <si>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</si>
  <si>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</si>
  <si>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</si>
  <si>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</si>
  <si>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</si>
  <si>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</si>
  <si>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</si>
  <si>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</si>
  <si>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</si>
  <si>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</si>
  <si>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</si>
  <si>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</si>
  <si>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</si>
  <si>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</si>
  <si>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</si>
  <si>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</si>
  <si>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</si>
  <si>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</si>
  <si>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</si>
  <si>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</si>
  <si>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</si>
  <si>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</si>
  <si>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</si>
  <si>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</si>
  <si>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</si>
  <si>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</si>
  <si>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</si>
  <si>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</si>
  <si>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</si>
  <si>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</si>
  <si>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</si>
  <si>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</si>
  <si>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</si>
  <si>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</si>
  <si>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</si>
  <si>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</si>
  <si>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</si>
  <si>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</si>
  <si>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</si>
  <si>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</si>
  <si>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</si>
  <si>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</si>
  <si>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</si>
  <si>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</si>
  <si>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</si>
  <si>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</si>
  <si>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</si>
  <si>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</si>
  <si>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</si>
  <si>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</si>
  <si>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</si>
  <si>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</si>
  <si>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</si>
  <si>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</si>
  <si>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</si>
  <si>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</si>
  <si>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</si>
  <si>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</si>
  <si>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</si>
  <si>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</si>
  <si>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</si>
  <si>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</si>
  <si>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</si>
  <si>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</si>
  <si>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</si>
  <si>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</si>
  <si>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</si>
  <si>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</si>
  <si>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</si>
  <si>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</si>
  <si>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</si>
  <si>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</si>
  <si>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</si>
  <si>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</si>
  <si>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</si>
  <si>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</si>
  <si>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</si>
  <si>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</si>
  <si>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</si>
  <si>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</si>
  <si>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</si>
  <si>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</si>
  <si>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</si>
  <si>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</si>
  <si>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</si>
  <si>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</si>
  <si>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</si>
  <si>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</si>
  <si>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</si>
  <si>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</si>
  <si>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</si>
  <si>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</si>
  <si>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</si>
  <si>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</si>
  <si>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</si>
  <si>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</si>
  <si>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</si>
  <si>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</si>
  <si>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</si>
  <si>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</si>
  <si>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</si>
  <si>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</si>
  <si>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</si>
  <si>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</si>
  <si>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</si>
  <si>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</si>
  <si>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</si>
  <si>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</si>
  <si>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</si>
  <si>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</si>
  <si>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</si>
  <si>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</si>
  <si>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</si>
  <si>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</si>
  <si>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</si>
  <si>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</si>
  <si>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</si>
  <si>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</si>
  <si>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</si>
  <si>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</si>
  <si>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</si>
  <si>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</si>
  <si>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</si>
  <si>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</si>
  <si>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</si>
  <si>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</si>
  <si>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</si>
  <si>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</si>
  <si>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</si>
  <si>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</si>
  <si>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</si>
  <si>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</si>
  <si>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</si>
  <si>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</si>
  <si>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</si>
  <si>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</si>
  <si>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</si>
  <si>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</si>
  <si>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</si>
  <si>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</si>
  <si>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</si>
  <si>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</si>
  <si>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</si>
  <si>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</si>
  <si>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</si>
  <si>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</si>
  <si>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</si>
  <si>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</si>
  <si>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</si>
  <si>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</si>
  <si>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</si>
  <si>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</si>
  <si>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</si>
  <si>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</si>
  <si>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</si>
  <si>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</si>
  <si>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</si>
  <si>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</si>
  <si>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</si>
  <si>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</si>
  <si>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</si>
  <si>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</si>
  <si>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</si>
  <si>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</si>
  <si>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</si>
  <si>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</si>
  <si>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</si>
  <si>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</si>
  <si>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</si>
  <si>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</si>
  <si>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</si>
  <si>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</si>
  <si>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</si>
  <si>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</si>
  <si>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</si>
  <si>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</si>
  <si>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</si>
  <si>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</si>
  <si>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</si>
  <si>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</si>
  <si>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</si>
  <si>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</si>
  <si>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</si>
  <si>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</si>
  <si>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</si>
  <si>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</si>
  <si>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</si>
  <si>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</si>
  <si>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</si>
  <si>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</si>
  <si>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</si>
  <si>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</si>
  <si>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</si>
  <si>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</si>
  <si>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</si>
  <si>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</si>
  <si>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</si>
  <si>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</si>
  <si>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</si>
  <si>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</si>
  <si>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</si>
  <si>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</si>
  <si>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</si>
  <si>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</si>
  <si>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</si>
  <si>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</si>
  <si>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</si>
  <si>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</si>
  <si>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</si>
  <si>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</si>
  <si>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</si>
  <si>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</si>
  <si>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</si>
  <si>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</si>
  <si>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</si>
  <si>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</si>
  <si>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</si>
  <si>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</si>
  <si>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</si>
  <si>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</si>
  <si>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</si>
  <si>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</si>
  <si>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</si>
  <si>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</si>
  <si>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</si>
  <si>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</si>
  <si>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</si>
  <si>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</si>
  <si>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</si>
  <si>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</si>
  <si>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</si>
  <si>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</si>
  <si>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</si>
  <si>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</si>
  <si>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</si>
  <si>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</si>
  <si>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</si>
  <si>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</si>
  <si>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</si>
  <si>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</si>
  <si>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</si>
  <si>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</si>
  <si>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</si>
  <si>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</si>
  <si>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</si>
  <si>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</si>
  <si>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</si>
  <si>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</si>
  <si>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</si>
  <si>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</si>
  <si>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</si>
  <si>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</si>
  <si>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</si>
  <si>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</si>
  <si>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</si>
  <si>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</si>
  <si>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</si>
  <si>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</si>
  <si>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</si>
  <si>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</si>
  <si>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</si>
  <si>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</si>
  <si>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</si>
  <si>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</si>
  <si>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</si>
  <si>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</si>
  <si>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</si>
  <si>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</si>
  <si>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</si>
  <si>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</si>
  <si>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</si>
  <si>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</si>
  <si>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</si>
  <si>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</si>
  <si>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</si>
  <si>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</si>
  <si>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</si>
  <si>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</si>
  <si>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</si>
  <si>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</si>
  <si>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</si>
  <si>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</si>
  <si>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</si>
  <si>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</si>
  <si>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</si>
  <si>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</si>
  <si>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</si>
  <si>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</si>
  <si>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</si>
  <si>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</si>
  <si>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</si>
  <si>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</si>
  <si>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</si>
  <si>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</si>
  <si>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</si>
  <si>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</si>
  <si>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</si>
  <si>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</si>
  <si>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</si>
  <si>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</si>
  <si>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</si>
  <si>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</si>
  <si>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</si>
  <si>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</si>
  <si>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</si>
  <si>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</si>
  <si>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</si>
  <si>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</si>
  <si>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</si>
  <si>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</si>
  <si>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</si>
  <si>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</si>
  <si>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</si>
  <si>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</si>
  <si>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</si>
  <si>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</si>
  <si>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</si>
  <si>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</si>
  <si>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</si>
  <si>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</si>
  <si>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</si>
  <si>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</si>
  <si>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</si>
  <si>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</si>
  <si>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</si>
  <si>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</si>
  <si>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</si>
  <si>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</si>
  <si>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</si>
  <si>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</si>
  <si>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</si>
  <si>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</si>
  <si>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</si>
  <si>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</si>
  <si>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</si>
  <si>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</si>
  <si>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</si>
  <si>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</si>
  <si>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</si>
  <si>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</si>
  <si>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</si>
  <si>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</si>
  <si>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</si>
  <si>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</si>
  <si>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</si>
  <si>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</si>
  <si>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</si>
  <si>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</si>
  <si>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</si>
  <si>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</si>
  <si>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</si>
  <si>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</si>
  <si>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</si>
  <si>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</si>
  <si>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</si>
  <si>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</si>
  <si>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</si>
  <si>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</si>
  <si>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</si>
  <si>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</si>
  <si>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</si>
  <si>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</si>
  <si>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</si>
  <si>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</si>
  <si>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</si>
  <si>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</si>
  <si>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</si>
  <si>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</si>
  <si>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</si>
  <si>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</si>
  <si>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</si>
  <si>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</si>
  <si>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</si>
  <si>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</si>
  <si>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</si>
  <si>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</si>
  <si>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</si>
  <si>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</si>
  <si>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</si>
  <si>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</si>
  <si>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</si>
  <si>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</si>
  <si>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</si>
  <si>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</si>
  <si>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</si>
  <si>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</si>
  <si>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</si>
  <si>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</si>
  <si>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</si>
  <si>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</si>
  <si>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</si>
  <si>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</si>
  <si>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</si>
  <si>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</si>
  <si>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</si>
  <si>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</si>
  <si>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</si>
  <si>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</si>
  <si>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</si>
  <si>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</si>
  <si>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</si>
  <si>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</si>
  <si>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</si>
  <si>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</si>
  <si>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</si>
  <si>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</si>
  <si>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</si>
  <si>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</si>
  <si>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</si>
  <si>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</si>
  <si>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</si>
  <si>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</si>
  <si>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</si>
  <si>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</si>
  <si>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</si>
  <si>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</si>
  <si>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</si>
  <si>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</si>
  <si>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</si>
  <si>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</si>
  <si>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</si>
  <si>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</si>
  <si>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</si>
  <si>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</si>
  <si>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</si>
  <si>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</si>
  <si>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</si>
  <si>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</si>
  <si>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</si>
  <si>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</si>
  <si>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</si>
  <si>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</si>
  <si>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</si>
  <si>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</si>
  <si>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</si>
  <si>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</si>
  <si>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</si>
  <si>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</si>
  <si>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</si>
  <si>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</si>
  <si>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</si>
  <si>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</si>
  <si>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</si>
  <si>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</si>
  <si>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</si>
  <si>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</si>
  <si>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</si>
  <si>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</si>
  <si>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</si>
  <si>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</si>
  <si>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</si>
  <si>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</si>
  <si>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</si>
  <si>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</si>
  <si>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</si>
  <si>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</si>
  <si>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</si>
  <si>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</si>
  <si>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</si>
  <si>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</si>
  <si>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</si>
  <si>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</si>
  <si>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</si>
  <si>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</si>
  <si>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</si>
  <si>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</si>
  <si>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</si>
  <si>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</si>
  <si>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</si>
  <si>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</si>
  <si>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</si>
  <si>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</si>
  <si>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</si>
  <si>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</si>
  <si>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</si>
  <si>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</si>
  <si>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</si>
  <si>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</si>
  <si>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</si>
  <si>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</si>
  <si>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</si>
  <si>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</si>
  <si>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</si>
  <si>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</si>
  <si>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</si>
  <si>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</si>
  <si>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</si>
  <si>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</si>
  <si>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</si>
  <si>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</si>
  <si>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</si>
  <si>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</si>
  <si>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</si>
  <si>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</si>
  <si>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</si>
  <si>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</si>
  <si>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</si>
  <si>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</si>
  <si>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</si>
  <si>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</si>
  <si>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</si>
  <si>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</si>
  <si>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</si>
  <si>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</si>
  <si>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</si>
  <si>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</si>
  <si>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</si>
  <si>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</si>
  <si>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</si>
  <si>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</si>
  <si>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</si>
  <si>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</si>
  <si>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</si>
  <si>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</si>
  <si>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</si>
  <si>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</si>
  <si>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</si>
  <si>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</si>
  <si>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</si>
  <si>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</si>
  <si>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</si>
  <si>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</si>
  <si>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</si>
  <si>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</si>
  <si>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</si>
  <si>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</si>
  <si>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</si>
  <si>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</si>
  <si>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</si>
  <si>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</si>
  <si>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</si>
  <si>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</si>
  <si>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</si>
  <si>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</si>
  <si>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</si>
  <si>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</si>
  <si>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</si>
  <si>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</si>
  <si>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</si>
  <si>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</si>
  <si>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</si>
  <si>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</si>
  <si>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</si>
  <si>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</si>
  <si>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</si>
  <si>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</si>
  <si>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</si>
  <si>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</si>
  <si>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</si>
  <si>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</si>
  <si>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</si>
  <si>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</si>
  <si>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</si>
  <si>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</si>
  <si>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</si>
  <si>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</si>
  <si>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</si>
  <si>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</si>
  <si>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</si>
  <si>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</si>
  <si>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</si>
  <si>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</si>
  <si>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</si>
  <si>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</si>
  <si>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</si>
  <si>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</si>
  <si>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</si>
  <si>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</si>
  <si>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</si>
  <si>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</si>
  <si>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</si>
  <si>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</si>
  <si>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</si>
  <si>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</si>
  <si>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</si>
  <si>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</si>
  <si>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</si>
  <si>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</si>
  <si>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</si>
  <si>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</si>
  <si>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</si>
  <si>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</si>
  <si>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</si>
  <si>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</si>
  <si>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</si>
  <si>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</si>
  <si>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</si>
  <si>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</si>
  <si>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</si>
  <si>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</si>
  <si>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</si>
  <si>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</si>
  <si>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</si>
  <si>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</si>
  <si>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</si>
  <si>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</si>
  <si>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</si>
  <si>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</si>
  <si>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</si>
  <si>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</si>
  <si>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</si>
  <si>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</si>
  <si>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</si>
  <si>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</si>
  <si>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</si>
  <si>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</si>
  <si>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</si>
  <si>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</si>
  <si>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</si>
  <si>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</si>
  <si>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</si>
  <si>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</si>
  <si>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</si>
  <si>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</si>
  <si>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</si>
  <si>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</si>
  <si>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</si>
  <si>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</si>
  <si>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</si>
  <si>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</si>
  <si>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</si>
  <si>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</si>
  <si>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</si>
  <si>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</si>
  <si>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</si>
  <si>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</si>
  <si>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</si>
  <si>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</si>
  <si>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</si>
  <si>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</si>
  <si>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</si>
  <si>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</si>
  <si>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</si>
  <si>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</si>
  <si>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</si>
  <si>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</si>
  <si>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</si>
  <si>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</si>
  <si>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</si>
  <si>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</si>
  <si>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</si>
  <si>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</si>
  <si>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</si>
  <si>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</si>
  <si>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</si>
  <si>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</si>
  <si>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</si>
  <si>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</si>
  <si>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</si>
  <si>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</si>
  <si>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</si>
  <si>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</si>
  <si>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</si>
  <si>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</si>
  <si>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</si>
  <si>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</si>
  <si>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</si>
  <si>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</si>
  <si>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</si>
  <si>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</si>
  <si>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</si>
  <si>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</si>
  <si>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</si>
  <si>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</si>
  <si>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</si>
  <si>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</si>
  <si>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</si>
  <si>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</si>
  <si>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</si>
  <si>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</si>
  <si>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</si>
  <si>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</si>
  <si>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</si>
  <si>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</si>
  <si>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</si>
  <si>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</si>
  <si>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</si>
  <si>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</si>
  <si>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</si>
  <si>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</si>
  <si>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</si>
  <si>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</si>
  <si>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</si>
  <si>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</si>
  <si>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</si>
  <si>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</si>
  <si>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</si>
  <si>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</si>
  <si>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</si>
  <si>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</si>
  <si>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</si>
  <si>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</si>
  <si>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</si>
  <si>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</si>
  <si>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</si>
  <si>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</si>
  <si>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</si>
  <si>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</si>
  <si>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</si>
  <si>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</si>
  <si>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</si>
  <si>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</si>
  <si>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</si>
  <si>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</si>
  <si>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</si>
  <si>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</si>
  <si>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</si>
  <si>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</si>
  <si>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</si>
  <si>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</si>
  <si>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</si>
  <si>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</si>
  <si>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</si>
  <si>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</si>
  <si>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</si>
  <si>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</si>
  <si>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</si>
  <si>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</si>
  <si>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</si>
  <si>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</si>
  <si>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</si>
  <si>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</si>
  <si>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</si>
  <si>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</si>
  <si>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</si>
  <si>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</si>
  <si>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</si>
  <si>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</si>
  <si>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</si>
  <si>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</si>
  <si>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</si>
  <si>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</si>
  <si>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</si>
  <si>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</si>
  <si>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</si>
  <si>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</si>
  <si>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</si>
  <si>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</si>
  <si>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</si>
  <si>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</si>
  <si>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</si>
  <si>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</si>
  <si>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</si>
  <si>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</si>
  <si>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</si>
  <si>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</si>
  <si>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</si>
  <si>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</si>
  <si>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</si>
  <si>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</si>
  <si>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</si>
  <si>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</si>
  <si>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</si>
  <si>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</si>
  <si>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</si>
  <si>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</si>
  <si>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</si>
  <si>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</si>
  <si>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</si>
  <si>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</si>
  <si>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</si>
  <si>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</si>
  <si>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</si>
  <si>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</si>
  <si>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</si>
  <si>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</si>
  <si>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</si>
  <si>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</si>
  <si>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</si>
  <si>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</si>
  <si>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</si>
  <si>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</si>
  <si>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</si>
  <si>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</si>
  <si>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</si>
  <si>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</si>
  <si>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</si>
  <si>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</si>
  <si>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</si>
  <si>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</si>
  <si>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</si>
  <si>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</si>
  <si>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</si>
  <si>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</si>
  <si>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</si>
  <si>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</si>
  <si>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</si>
  <si>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</si>
  <si>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</si>
  <si>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</si>
  <si>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</si>
  <si>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</si>
  <si>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</si>
  <si>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</si>
  <si>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</si>
  <si>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</si>
  <si>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</si>
  <si>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</si>
  <si>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</si>
  <si>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</si>
  <si>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</si>
  <si>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</si>
  <si>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</si>
  <si>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</si>
  <si>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</si>
  <si>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</si>
  <si>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</si>
  <si>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</si>
  <si>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</si>
  <si>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</si>
  <si>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</si>
  <si>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</si>
  <si>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</si>
  <si>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</si>
  <si>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</si>
  <si>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</si>
  <si>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</si>
  <si>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</si>
  <si>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</si>
  <si>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</si>
  <si>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</si>
  <si>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</si>
  <si>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</si>
  <si>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</si>
  <si>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</si>
  <si>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</si>
  <si>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</si>
  <si>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</si>
  <si>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</si>
  <si>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</si>
  <si>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</si>
  <si>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</si>
  <si>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</si>
  <si>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</si>
  <si>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</si>
  <si>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</si>
  <si>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</si>
  <si>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</si>
  <si>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</si>
  <si>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</si>
  <si>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</si>
  <si>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</si>
  <si>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</si>
  <si>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</si>
  <si>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</si>
  <si>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</si>
  <si>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</si>
  <si>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</si>
  <si>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</si>
  <si>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</si>
  <si>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</si>
  <si>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</si>
  <si>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</si>
  <si>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</si>
  <si>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</si>
  <si>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</si>
  <si>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</si>
  <si>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</si>
  <si>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</si>
  <si>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</si>
  <si>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</si>
  <si>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</si>
  <si>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</si>
  <si>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</si>
  <si>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</si>
  <si>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</si>
  <si>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</si>
  <si>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</si>
  <si>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</si>
  <si>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</si>
  <si>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</si>
  <si>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</si>
  <si>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</si>
  <si>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</si>
  <si>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</si>
  <si>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</si>
  <si>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</si>
  <si>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</si>
  <si>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</si>
  <si>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</si>
  <si>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</si>
  <si>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</si>
  <si>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</si>
  <si>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</si>
  <si>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</si>
  <si>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</si>
  <si>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</si>
  <si>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</si>
  <si>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</si>
  <si>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</si>
  <si>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</si>
  <si>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</si>
  <si>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</si>
  <si>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</si>
  <si>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</si>
  <si>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</si>
  <si>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</si>
  <si>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</si>
  <si>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</si>
  <si>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</si>
  <si>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</si>
  <si>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</si>
  <si>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</si>
  <si>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</si>
  <si>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</si>
  <si>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</si>
  <si>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</si>
  <si>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</si>
  <si>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</si>
  <si>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</si>
  <si>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</si>
  <si>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</si>
  <si>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</si>
  <si>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</si>
  <si>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</si>
  <si>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</si>
  <si>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</si>
  <si>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</si>
  <si>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</si>
  <si>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</si>
  <si>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</si>
  <si>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</si>
  <si>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</si>
  <si>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</si>
  <si>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</si>
  <si>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</si>
  <si>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</si>
  <si>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</si>
  <si>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</si>
  <si>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</si>
  <si>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</si>
  <si>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</si>
  <si>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</si>
  <si>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</si>
  <si>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</si>
  <si>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</si>
  <si>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</si>
  <si>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</si>
  <si>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</si>
  <si>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</si>
  <si>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</si>
  <si>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</si>
  <si>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</si>
  <si>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</si>
  <si>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</si>
  <si>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</si>
  <si>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</si>
  <si>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</si>
  <si>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</si>
  <si>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</si>
  <si>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</si>
  <si>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</si>
  <si>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</si>
  <si>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</si>
  <si>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</si>
  <si>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</si>
  <si>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</si>
  <si>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</si>
  <si>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</si>
  <si>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</si>
  <si>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</si>
  <si>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</si>
  <si>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</si>
  <si>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</si>
  <si>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</si>
  <si>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</si>
  <si>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</si>
  <si>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</si>
  <si>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</si>
  <si>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</si>
  <si>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</si>
  <si>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</si>
  <si>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</si>
  <si>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</si>
  <si>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</si>
  <si>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</si>
  <si>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</si>
  <si>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</si>
  <si>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</si>
  <si>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</si>
  <si>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</si>
  <si>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</si>
  <si>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</si>
  <si>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</si>
  <si>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</si>
  <si>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</si>
  <si>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</si>
  <si>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</si>
  <si>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</si>
  <si>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</si>
  <si>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</si>
  <si>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</si>
  <si>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</si>
  <si>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</si>
  <si>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</si>
  <si>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</si>
  <si>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</si>
  <si>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</si>
  <si>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</si>
  <si>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</si>
  <si>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</si>
  <si>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</si>
  <si>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</si>
  <si>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</si>
  <si>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</si>
  <si>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</si>
  <si>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</si>
  <si>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</si>
  <si>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</si>
  <si>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</si>
  <si>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</si>
  <si>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</si>
  <si>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</si>
  <si>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</si>
  <si>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</si>
  <si>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</si>
  <si>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</si>
  <si>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</si>
  <si>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</si>
  <si>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</si>
  <si>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</si>
  <si>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</si>
  <si>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</si>
  <si>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</si>
  <si>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</si>
  <si>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</si>
  <si>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</si>
  <si>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</si>
  <si>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</si>
  <si>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</si>
  <si>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</si>
  <si>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</si>
  <si>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</si>
  <si>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</si>
  <si>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</si>
  <si>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</si>
  <si>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</si>
  <si>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</si>
  <si>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</si>
  <si>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</si>
  <si>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</si>
  <si>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</si>
  <si>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</si>
  <si>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</si>
  <si>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</si>
  <si>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</si>
  <si>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</si>
  <si>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</si>
  <si>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</si>
  <si>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</si>
  <si>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</si>
  <si>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</si>
  <si>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</si>
  <si>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</si>
  <si>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</si>
  <si>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</si>
  <si>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</si>
  <si>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</si>
  <si>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</si>
  <si>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</si>
  <si>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</si>
  <si>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</si>
  <si>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</si>
  <si>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</si>
  <si>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</si>
  <si>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</si>
  <si>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</si>
  <si>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</si>
  <si>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</si>
  <si>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</si>
  <si>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</si>
  <si>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</si>
  <si>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</si>
  <si>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</si>
  <si>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</si>
  <si>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</si>
  <si>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</si>
  <si>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</si>
  <si>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</si>
  <si>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</si>
  <si>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</si>
  <si>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</si>
  <si>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</si>
  <si>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</si>
  <si>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</si>
  <si>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</si>
  <si>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</si>
  <si>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</si>
  <si>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</si>
  <si>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</si>
  <si>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</si>
  <si>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</si>
  <si>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</si>
  <si>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</si>
  <si>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</si>
  <si>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</si>
  <si>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</si>
  <si>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</si>
  <si>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</si>
  <si>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</si>
  <si>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</si>
  <si>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</si>
  <si>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</si>
  <si>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</si>
  <si>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</si>
  <si>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</si>
  <si>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</si>
  <si>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</si>
  <si>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</si>
  <si>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</si>
  <si>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</si>
  <si>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</si>
  <si>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</si>
  <si>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</si>
  <si>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</si>
  <si>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</si>
  <si>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</si>
  <si>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</si>
  <si>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</si>
  <si>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</si>
  <si>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</si>
  <si>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</si>
  <si>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</si>
  <si>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</si>
  <si>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</si>
  <si>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</si>
  <si>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</si>
  <si>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</si>
  <si>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</si>
  <si>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</si>
  <si>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</si>
  <si>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</si>
  <si>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</si>
  <si>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</si>
  <si>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</si>
  <si>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</si>
  <si>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</si>
  <si>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</si>
  <si>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</si>
  <si>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</si>
  <si>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</si>
  <si>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</si>
  <si>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</si>
  <si>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</si>
  <si>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</si>
  <si>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</si>
  <si>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</si>
  <si>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</si>
  <si>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</si>
  <si>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</si>
  <si>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</si>
  <si>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</si>
  <si>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</si>
  <si>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</si>
  <si>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</si>
  <si>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</si>
  <si>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</si>
  <si>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</si>
  <si>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</si>
  <si>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</si>
  <si>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</si>
  <si>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</si>
  <si>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</si>
  <si>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</si>
  <si>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</si>
  <si>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</si>
  <si>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</si>
  <si>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</si>
  <si>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</si>
  <si>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</si>
  <si>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</si>
  <si>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</si>
  <si>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</si>
  <si>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</si>
  <si>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</si>
  <si>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</si>
  <si>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</si>
  <si>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</si>
  <si>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</si>
  <si>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</si>
  <si>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</si>
  <si>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</si>
  <si>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</si>
  <si>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</si>
  <si>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</si>
  <si>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</si>
  <si>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</si>
  <si>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</si>
  <si>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</si>
  <si>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</si>
  <si>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</si>
  <si>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</si>
  <si>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</si>
  <si>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</si>
  <si>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</si>
  <si>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</si>
  <si>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</si>
  <si>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</si>
  <si>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</si>
  <si>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</si>
  <si>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</si>
  <si>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</si>
  <si>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</si>
  <si>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</si>
  <si>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</si>
  <si>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</si>
  <si>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</si>
  <si>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</si>
  <si>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</si>
  <si>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</si>
  <si>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</si>
  <si>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</si>
  <si>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</si>
  <si>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</si>
  <si>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</si>
  <si>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</si>
  <si>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</si>
  <si>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</si>
  <si>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</si>
  <si>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</si>
  <si>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</si>
  <si>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</si>
  <si>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</si>
  <si>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</si>
  <si>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</si>
  <si>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</si>
  <si>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</si>
  <si>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</si>
  <si>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</si>
  <si>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</si>
  <si>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</si>
  <si>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</si>
  <si>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</si>
  <si>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</si>
  <si>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</si>
  <si>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</si>
  <si>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</si>
  <si>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</si>
  <si>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</si>
  <si>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</si>
  <si>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</si>
  <si>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</si>
  <si>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</si>
  <si>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</si>
  <si>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</si>
  <si>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</si>
  <si>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</si>
  <si>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</si>
  <si>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</si>
  <si>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</si>
  <si>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</si>
  <si>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</si>
  <si>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</si>
  <si>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</si>
  <si>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</si>
  <si>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</si>
  <si>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</si>
  <si>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</si>
  <si>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</si>
  <si>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</si>
  <si>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</si>
  <si>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</si>
  <si>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</si>
  <si>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</si>
  <si>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</si>
  <si>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</si>
  <si>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</si>
  <si>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</si>
  <si>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</si>
  <si>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</si>
  <si>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</si>
  <si>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</si>
  <si>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</si>
  <si>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</si>
  <si>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</si>
  <si>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</si>
  <si>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</si>
  <si>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</si>
  <si>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</si>
  <si>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</si>
  <si>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</si>
  <si>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</si>
  <si>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</si>
  <si>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</si>
  <si>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</si>
  <si>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</si>
  <si>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</si>
  <si>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</si>
  <si>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</si>
  <si>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</si>
  <si>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</si>
  <si>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</si>
  <si>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</si>
  <si>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</si>
  <si>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</si>
  <si>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</si>
  <si>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</si>
  <si>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</si>
  <si>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</si>
  <si>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</si>
  <si>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</si>
  <si>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</si>
  <si>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</si>
  <si>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</si>
  <si>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</si>
  <si>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</si>
  <si>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</si>
  <si>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</si>
  <si>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</si>
  <si>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</si>
  <si>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</si>
  <si>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</si>
  <si>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</si>
  <si>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</si>
  <si>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</si>
  <si>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</si>
  <si>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</si>
  <si>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</si>
  <si>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</si>
  <si>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</si>
  <si>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</si>
  <si>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</si>
  <si>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</si>
  <si>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</si>
  <si>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</si>
  <si>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</si>
  <si>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</si>
  <si>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</si>
  <si>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</si>
  <si>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</si>
  <si>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</si>
  <si>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</si>
  <si>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</si>
  <si>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</si>
  <si>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</si>
  <si>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</si>
  <si>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</si>
  <si>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</si>
  <si>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</si>
  <si>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</si>
  <si>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</si>
  <si>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</si>
  <si>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</si>
  <si>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</si>
  <si>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</si>
  <si>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</si>
  <si>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</si>
  <si>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</si>
  <si>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</si>
  <si>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</si>
  <si>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</si>
  <si>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</si>
  <si>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</si>
  <si>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</si>
  <si>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</si>
  <si>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</si>
  <si>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</si>
  <si>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</si>
  <si>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</si>
  <si>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</si>
  <si>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</si>
  <si>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</si>
  <si>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</si>
  <si>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</si>
  <si>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</si>
  <si>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</si>
  <si>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</si>
  <si>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</si>
  <si>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</si>
  <si>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</si>
  <si>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</si>
  <si>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</si>
  <si>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</si>
  <si>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</si>
  <si>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</si>
  <si>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</si>
  <si>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</si>
  <si>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</si>
  <si>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</si>
  <si>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</si>
  <si>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</si>
  <si>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</si>
  <si>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</si>
  <si>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</si>
  <si>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</si>
  <si>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</si>
  <si>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</si>
  <si>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</si>
  <si>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</si>
  <si>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</si>
  <si>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</si>
  <si>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</si>
  <si>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</si>
  <si>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</si>
  <si>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</si>
  <si>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</si>
  <si>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</si>
  <si>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</si>
  <si>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</si>
  <si>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</si>
  <si>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</si>
  <si>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</si>
  <si>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</si>
  <si>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</si>
  <si>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</si>
  <si>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</si>
  <si>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</si>
  <si>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</si>
  <si>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</si>
  <si>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</si>
  <si>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</si>
  <si>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</si>
  <si>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</si>
  <si>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</si>
  <si>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</si>
  <si>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</si>
  <si>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</si>
  <si>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</si>
  <si>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</si>
  <si>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</si>
  <si>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</si>
  <si>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</si>
  <si>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</si>
  <si>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</si>
  <si>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</si>
  <si>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</si>
  <si>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</si>
  <si>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</si>
  <si>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</si>
  <si>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</si>
  <si>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</si>
  <si>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</si>
  <si>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</si>
  <si>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</si>
  <si>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</si>
  <si>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</si>
  <si>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</si>
  <si>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</si>
  <si>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</si>
  <si>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</si>
  <si>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</si>
  <si>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</si>
  <si>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</si>
  <si>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</si>
  <si>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</si>
  <si>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</si>
  <si>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</si>
  <si>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</si>
  <si>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</si>
  <si>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</si>
  <si>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</si>
  <si>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</si>
  <si>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</si>
  <si>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</si>
  <si>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</si>
  <si>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</si>
  <si>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</si>
  <si>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</si>
  <si>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</si>
  <si>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</si>
  <si>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</si>
  <si>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</si>
  <si>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</si>
  <si>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</si>
  <si>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</si>
  <si>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</si>
  <si>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</si>
  <si>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</si>
  <si>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</si>
  <si>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</si>
  <si>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</si>
  <si>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</si>
  <si>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</si>
  <si>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</si>
  <si>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</si>
  <si>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</si>
  <si>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</si>
  <si>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</si>
  <si>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</si>
  <si>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</si>
  <si>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</si>
  <si>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</si>
  <si>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</si>
  <si>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</si>
  <si>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</si>
  <si>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</si>
  <si>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</si>
  <si>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</si>
  <si>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</si>
  <si>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</si>
  <si>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</si>
  <si>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</si>
  <si>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</si>
  <si>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</si>
  <si>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</si>
  <si>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</si>
  <si>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</si>
  <si>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</si>
  <si>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</si>
  <si>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</si>
  <si>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</si>
  <si>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</si>
  <si>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</si>
  <si>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</si>
  <si>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</si>
  <si>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</si>
  <si>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</si>
  <si>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</si>
  <si>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</si>
  <si>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</si>
  <si>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</si>
  <si>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</si>
  <si>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</si>
  <si>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</si>
  <si>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</si>
  <si>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</si>
  <si>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</si>
  <si>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</si>
  <si>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</si>
  <si>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</si>
  <si>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</si>
  <si>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</si>
  <si>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</si>
  <si>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</si>
  <si>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</si>
  <si>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</si>
  <si>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</si>
  <si>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</si>
  <si>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</si>
  <si>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</si>
  <si>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</si>
  <si>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</si>
  <si>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</si>
  <si>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</si>
  <si>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</si>
  <si>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</si>
  <si>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</si>
  <si>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</si>
  <si>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</si>
  <si>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</si>
  <si>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</si>
  <si>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</si>
  <si>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</si>
  <si>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</si>
  <si>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</si>
  <si>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</si>
  <si>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</si>
  <si>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</si>
  <si>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</si>
  <si>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</si>
  <si>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</si>
  <si>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</si>
  <si>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</si>
  <si>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</si>
  <si>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</si>
  <si>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</si>
  <si>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</si>
  <si>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</si>
  <si>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</si>
  <si>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</si>
  <si>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</si>
  <si>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</si>
  <si>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</si>
  <si>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</si>
  <si>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</si>
  <si>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</si>
  <si>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</si>
  <si>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</si>
  <si>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</si>
  <si>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</si>
  <si>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</si>
  <si>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</si>
  <si>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</si>
  <si>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</si>
  <si>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</si>
  <si>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</si>
  <si>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</si>
  <si>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</si>
  <si>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</si>
  <si>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</si>
  <si>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</si>
  <si>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</si>
  <si>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</si>
  <si>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</si>
  <si>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</si>
  <si>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</si>
  <si>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</si>
  <si>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</si>
  <si>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</si>
  <si>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</si>
  <si>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</si>
  <si>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</si>
  <si>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</si>
  <si>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</si>
  <si>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</si>
  <si>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</si>
  <si>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</si>
  <si>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</si>
  <si>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</si>
  <si>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</si>
  <si>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</si>
  <si>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</si>
  <si>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</si>
  <si>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</si>
  <si>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</si>
  <si>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</si>
  <si>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</si>
  <si>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</si>
  <si>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</si>
  <si>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</si>
  <si>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</si>
  <si>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</si>
  <si>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</si>
  <si>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</si>
  <si>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</si>
  <si>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</si>
  <si>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</si>
  <si>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</si>
  <si>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</si>
  <si>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</si>
  <si>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</si>
  <si>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</si>
  <si>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</si>
  <si>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</si>
  <si>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</si>
  <si>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</si>
  <si>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</si>
  <si>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</si>
  <si>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</si>
  <si>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</si>
  <si>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</si>
  <si>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</si>
  <si>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</si>
  <si>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</si>
  <si>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</si>
  <si>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</si>
  <si>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</si>
  <si>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</si>
  <si>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</si>
  <si>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</si>
  <si>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</si>
  <si>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</si>
  <si>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</si>
  <si>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</si>
  <si>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</si>
  <si>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</si>
  <si>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</si>
  <si>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</si>
  <si>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</si>
  <si>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</si>
  <si>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</si>
  <si>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</si>
  <si>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</si>
  <si>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</si>
  <si>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</si>
  <si>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</si>
  <si>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</si>
  <si>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</si>
  <si>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</si>
  <si>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</si>
  <si>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</si>
  <si>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</si>
  <si>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</si>
  <si>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</si>
  <si>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</si>
  <si>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</si>
  <si>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</si>
  <si>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</si>
  <si>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</si>
  <si>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</si>
  <si>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</si>
  <si>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</si>
  <si>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</si>
  <si>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</si>
  <si>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</si>
  <si>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</si>
  <si>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</si>
  <si>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</si>
  <si>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</si>
  <si>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</si>
  <si>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</si>
  <si>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</si>
  <si>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</si>
  <si>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</si>
  <si>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</si>
  <si>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</si>
  <si>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</si>
  <si>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</si>
  <si>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</si>
  <si>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</si>
  <si>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</si>
  <si>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</si>
  <si>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</si>
  <si>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</si>
  <si>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</si>
  <si>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</si>
  <si>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</si>
  <si>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</si>
  <si>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</si>
  <si>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</si>
  <si>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</si>
  <si>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</si>
  <si>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</si>
  <si>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</si>
  <si>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</si>
  <si>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</si>
  <si>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</si>
  <si>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</si>
  <si>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</si>
  <si>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</si>
  <si>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</si>
  <si>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</si>
  <si>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</si>
  <si>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</si>
  <si>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</si>
  <si>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</si>
  <si>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</si>
  <si>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</si>
  <si>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</si>
  <si>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</si>
  <si>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</si>
  <si>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</si>
  <si>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</si>
  <si>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</si>
  <si>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</si>
  <si>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</si>
  <si>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</si>
  <si>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</si>
  <si>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</si>
  <si>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</si>
  <si>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</si>
  <si>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</si>
  <si>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</si>
  <si>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</si>
  <si>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</si>
  <si>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</si>
  <si>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</si>
  <si>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</si>
  <si>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</si>
  <si>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</si>
  <si>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</si>
  <si>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</si>
  <si>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</si>
  <si>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</si>
  <si>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</si>
  <si>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</si>
  <si>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</si>
  <si>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</si>
  <si>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</si>
  <si>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</si>
  <si>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</si>
  <si>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</si>
  <si>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</si>
  <si>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</si>
  <si>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</si>
  <si>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</si>
  <si>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</si>
  <si>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</si>
  <si>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</si>
  <si>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</si>
  <si>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</si>
  <si>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</si>
  <si>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</si>
  <si>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</si>
  <si>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</si>
  <si>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</si>
  <si>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</si>
  <si>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</si>
  <si>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</si>
  <si>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</si>
  <si>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</si>
  <si>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</si>
  <si>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</si>
  <si>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</si>
  <si>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</si>
  <si>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</si>
  <si>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</si>
  <si>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</si>
  <si>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</si>
  <si>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</si>
  <si>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</si>
  <si>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</si>
  <si>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</si>
  <si>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</si>
  <si>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</si>
  <si>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</si>
  <si>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</si>
  <si>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</si>
  <si>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</si>
  <si>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</si>
  <si>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</si>
  <si>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</si>
  <si>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</si>
  <si>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</si>
  <si>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</si>
  <si>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</si>
  <si>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</si>
  <si>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</si>
  <si>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</si>
  <si>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</si>
  <si>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</si>
  <si>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</si>
  <si>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</si>
  <si>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</si>
  <si>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</si>
  <si>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</si>
  <si>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</si>
  <si>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</si>
  <si>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</si>
  <si>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</si>
  <si>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</si>
  <si>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</si>
  <si>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</si>
  <si>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</si>
  <si>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</si>
  <si>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</si>
  <si>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</si>
  <si>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</si>
  <si>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</si>
  <si>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</si>
  <si>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</si>
  <si>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</si>
  <si>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</si>
  <si>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</si>
  <si>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</si>
  <si>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</si>
  <si>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</si>
  <si>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</si>
  <si>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</si>
  <si>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</si>
  <si>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</si>
  <si>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</si>
  <si>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</si>
  <si>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</si>
  <si>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</si>
  <si>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</si>
  <si>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</si>
  <si>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</si>
  <si>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</si>
  <si>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</si>
  <si>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</si>
  <si>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</si>
  <si>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</si>
  <si>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</si>
  <si>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</si>
  <si>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</si>
  <si>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</si>
  <si>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</si>
  <si>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</si>
  <si>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</si>
  <si>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</si>
  <si>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</si>
  <si>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</si>
  <si>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</si>
  <si>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</si>
  <si>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</si>
  <si>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</si>
  <si>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</si>
  <si>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</si>
  <si>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</si>
  <si>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</si>
  <si>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</si>
  <si>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</si>
  <si>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</si>
  <si>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</si>
  <si>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</si>
  <si>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</si>
  <si>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</si>
  <si>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</si>
  <si>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</si>
  <si>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</si>
  <si>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</si>
  <si>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</si>
  <si>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</si>
  <si>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</si>
  <si>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</si>
  <si>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</si>
  <si>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</si>
  <si>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</si>
  <si>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</si>
  <si>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</si>
  <si>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</si>
  <si>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</si>
  <si>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</si>
  <si>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</si>
  <si>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</si>
  <si>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</si>
  <si>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</si>
  <si>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</si>
  <si>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</si>
  <si>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</si>
  <si>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</si>
  <si>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</si>
  <si>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</si>
  <si>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</si>
  <si>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</si>
  <si>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</si>
  <si>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</si>
  <si>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</si>
  <si>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</si>
  <si>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</si>
  <si>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</si>
  <si>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</si>
  <si>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</si>
  <si>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</si>
  <si>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</si>
  <si>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</si>
  <si>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</si>
  <si>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</si>
  <si>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</si>
  <si>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</si>
  <si>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</si>
  <si>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</si>
  <si>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</si>
  <si>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</si>
  <si>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</si>
  <si>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</si>
  <si>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</si>
  <si>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</si>
  <si>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</si>
  <si>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</si>
  <si>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</si>
  <si>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</si>
  <si>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</si>
  <si>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</si>
  <si>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</si>
  <si>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</si>
  <si>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</si>
  <si>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</si>
  <si>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</si>
  <si>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</si>
  <si>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</si>
  <si>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</si>
  <si>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</si>
  <si>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</si>
  <si>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</si>
  <si>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</si>
  <si>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</si>
  <si>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</si>
  <si>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</si>
  <si>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</si>
  <si>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</si>
  <si>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</si>
  <si>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</si>
  <si>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</si>
  <si>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</si>
  <si>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</si>
  <si>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</si>
  <si>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</si>
  <si>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</si>
  <si>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</si>
  <si>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</si>
  <si>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</si>
  <si>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</si>
  <si>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</si>
  <si>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</si>
  <si>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</si>
  <si>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</si>
  <si>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</si>
  <si>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</si>
  <si>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</si>
  <si>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</si>
  <si>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</si>
  <si>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</si>
  <si>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</si>
  <si>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</si>
  <si>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</si>
  <si>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</si>
  <si>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</si>
  <si>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</si>
  <si>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</si>
  <si>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</si>
  <si>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</si>
  <si>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</si>
  <si>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</si>
  <si>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</si>
  <si>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</si>
  <si>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</si>
  <si>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</si>
  <si>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</si>
  <si>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</si>
  <si>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</si>
  <si>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</si>
  <si>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</si>
  <si>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</si>
  <si>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</si>
  <si>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</si>
  <si>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</si>
  <si>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</si>
  <si>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</si>
  <si>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</si>
  <si>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</si>
  <si>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</si>
  <si>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</si>
  <si>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</si>
  <si>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</si>
  <si>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</si>
  <si>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</si>
  <si>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</si>
  <si>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</si>
  <si>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</si>
  <si>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</si>
  <si>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</si>
  <si>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</si>
  <si>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</si>
  <si>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</si>
  <si>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</si>
  <si>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</si>
  <si>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</si>
  <si>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</si>
  <si>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</si>
  <si>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</si>
  <si>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</si>
  <si>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</si>
  <si>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</si>
  <si>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</si>
  <si>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</si>
  <si>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</si>
  <si>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</si>
  <si>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</si>
  <si>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</si>
  <si>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</si>
  <si>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</si>
  <si>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</si>
  <si>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</si>
  <si>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</si>
  <si>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</si>
  <si>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</si>
  <si>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</si>
  <si>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</si>
  <si>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</si>
  <si>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</si>
  <si>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</si>
  <si>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</si>
  <si>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</si>
  <si>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</si>
  <si>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</si>
  <si>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</si>
  <si>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</si>
  <si>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</si>
  <si>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</si>
  <si>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</si>
  <si>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</si>
  <si>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</si>
  <si>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</si>
  <si>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</si>
  <si>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</si>
  <si>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</si>
  <si>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</si>
  <si>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</si>
  <si>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</si>
  <si>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</si>
  <si>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</si>
  <si>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</si>
  <si>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</si>
  <si>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</si>
  <si>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</si>
  <si>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</si>
  <si>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</si>
  <si>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</si>
  <si>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</si>
  <si>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</si>
  <si>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</si>
  <si>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</si>
  <si>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</si>
  <si>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</si>
  <si>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</si>
  <si>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</si>
  <si>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</si>
  <si>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</si>
  <si>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</si>
  <si>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</si>
  <si>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</si>
  <si>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</si>
  <si>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</si>
  <si>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</si>
  <si>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</si>
  <si>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</si>
  <si>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</si>
  <si>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</si>
  <si>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</si>
  <si>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</si>
  <si>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</si>
  <si>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</si>
  <si>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</si>
  <si>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</si>
  <si>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</si>
  <si>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</si>
  <si>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</si>
  <si>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</si>
  <si>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</si>
  <si>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</si>
  <si>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</si>
  <si>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</si>
  <si>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</si>
  <si>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</si>
  <si>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</si>
  <si>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</si>
  <si>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</si>
  <si>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</si>
  <si>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</si>
  <si>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</si>
  <si>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</si>
  <si>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</si>
  <si>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</si>
  <si>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</si>
  <si>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</si>
  <si>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</si>
  <si>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</si>
  <si>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</si>
  <si>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</si>
  <si>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</si>
  <si>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</si>
  <si>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</si>
  <si>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</si>
  <si>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</si>
  <si>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</si>
  <si>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</si>
  <si>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</si>
  <si>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</si>
  <si>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</si>
  <si>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</si>
  <si>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</si>
  <si>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</si>
  <si>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</si>
  <si>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</si>
  <si>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</si>
  <si>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</si>
  <si>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</si>
  <si>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</si>
  <si>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</si>
  <si>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</si>
  <si>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</si>
  <si>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</si>
  <si>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</si>
  <si>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</si>
  <si>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</si>
  <si>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</si>
  <si>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</si>
  <si>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</si>
  <si>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</si>
  <si>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</si>
  <si>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</si>
  <si>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</si>
  <si>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</si>
  <si>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</si>
  <si>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</si>
  <si>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</si>
  <si>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</si>
  <si>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</si>
  <si>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</si>
  <si>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</si>
  <si>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</si>
  <si>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</si>
  <si>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</si>
  <si>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</si>
  <si>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</si>
  <si>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</si>
  <si>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</si>
  <si>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</si>
  <si>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</si>
  <si>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</si>
  <si>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</si>
  <si>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</si>
  <si>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</si>
  <si>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</si>
  <si>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</si>
  <si>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</si>
  <si>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</si>
  <si>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</si>
  <si>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</si>
  <si>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</si>
  <si>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</si>
  <si>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</si>
  <si>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</si>
  <si>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</si>
  <si>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</si>
  <si>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</si>
  <si>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</si>
  <si>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</si>
  <si>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</si>
  <si>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</si>
  <si>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</si>
  <si>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</si>
  <si>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</si>
  <si>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</si>
  <si>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</si>
  <si>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</si>
  <si>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</si>
  <si>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</si>
  <si>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</si>
  <si>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</si>
  <si>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</si>
  <si>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</si>
  <si>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</si>
  <si>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</si>
  <si>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</si>
  <si>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</si>
  <si>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</si>
  <si>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</si>
  <si>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</si>
  <si>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</si>
  <si>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</si>
  <si>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</si>
  <si>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</si>
  <si>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</si>
  <si>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</si>
  <si>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</si>
  <si>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</si>
  <si>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</si>
  <si>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</si>
  <si>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</si>
  <si>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</si>
  <si>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</si>
  <si>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</si>
  <si>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</si>
  <si>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</si>
  <si>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</si>
  <si>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</si>
  <si>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</si>
  <si>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</si>
  <si>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</si>
  <si>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</si>
  <si>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</si>
  <si>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</si>
  <si>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</si>
  <si>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</si>
  <si>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</si>
  <si>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</si>
  <si>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</si>
  <si>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</si>
  <si>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</si>
  <si>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</si>
  <si>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</si>
  <si>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</si>
  <si>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</si>
  <si>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</si>
  <si>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</si>
  <si>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</si>
  <si>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</si>
  <si>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</si>
  <si>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</si>
  <si>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</si>
  <si>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</si>
  <si>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</si>
  <si>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</si>
  <si>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</si>
  <si>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</si>
  <si>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</si>
  <si>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</si>
  <si>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</si>
  <si>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</si>
  <si>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</si>
  <si>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</si>
  <si>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</si>
  <si>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</si>
  <si>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</si>
  <si>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</si>
  <si>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</si>
  <si>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</si>
  <si>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</si>
  <si>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</si>
  <si>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</si>
  <si>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</si>
  <si>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</si>
  <si>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</si>
  <si>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</si>
  <si>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</si>
  <si>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</si>
  <si>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</si>
  <si>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</si>
  <si>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</si>
  <si>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</si>
  <si>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</si>
  <si>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</si>
  <si>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</si>
  <si>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</si>
  <si>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</si>
  <si>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</si>
  <si>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</si>
  <si>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</si>
  <si>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</si>
  <si>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</si>
  <si>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</si>
  <si>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</si>
  <si>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</si>
  <si>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</si>
  <si>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</si>
  <si>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</si>
  <si>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</si>
  <si>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</si>
  <si>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</si>
  <si>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</si>
  <si>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</si>
  <si>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</si>
  <si>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</si>
  <si>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</si>
  <si>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</si>
  <si>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</si>
  <si>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</si>
  <si>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</si>
  <si>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</si>
  <si>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</si>
  <si>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</si>
  <si>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</si>
  <si>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</si>
  <si>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</si>
  <si>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</si>
  <si>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</si>
  <si>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</si>
  <si>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</si>
  <si>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</si>
  <si>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</si>
  <si>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</si>
  <si>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</si>
  <si>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</si>
  <si>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</si>
  <si>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</si>
  <si>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</si>
  <si>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</si>
  <si>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</si>
  <si>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</si>
  <si>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</si>
  <si>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</si>
  <si>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</si>
  <si>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</si>
  <si>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</si>
  <si>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</si>
  <si>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</si>
  <si>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</si>
  <si>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</si>
  <si>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</si>
  <si>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</si>
  <si>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</si>
  <si>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</si>
  <si>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</si>
  <si>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</si>
  <si>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</si>
  <si>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</si>
  <si>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</si>
  <si>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</si>
  <si>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</si>
  <si>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</si>
  <si>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</si>
  <si>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</si>
  <si>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</si>
  <si>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</si>
  <si>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</si>
  <si>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</si>
  <si>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</si>
  <si>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</si>
  <si>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</si>
  <si>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</si>
  <si>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</si>
  <si>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</si>
  <si>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</si>
  <si>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</si>
  <si>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</si>
  <si>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</si>
  <si>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</si>
  <si>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</si>
  <si>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</si>
  <si>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</si>
  <si>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</si>
  <si>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</si>
  <si>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</si>
  <si>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</si>
  <si>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</si>
  <si>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</si>
  <si>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</si>
  <si>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</si>
  <si>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</si>
  <si>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</si>
  <si>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</si>
  <si>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</si>
  <si>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</si>
  <si>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</si>
  <si>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</si>
  <si>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</si>
  <si>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</si>
  <si>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</si>
  <si>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</si>
  <si>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</si>
  <si>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</si>
  <si>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</si>
  <si>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</si>
  <si>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</si>
  <si>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</si>
  <si>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</si>
  <si>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</si>
  <si>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</si>
  <si>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</si>
  <si>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</si>
  <si>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</si>
  <si>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</si>
  <si>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</si>
  <si>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</si>
  <si>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</si>
  <si>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</si>
  <si>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</si>
  <si>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</si>
  <si>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</si>
  <si>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</si>
  <si>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</si>
  <si>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</si>
  <si>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</si>
  <si>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</si>
  <si>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</si>
  <si>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</si>
  <si>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</si>
  <si>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</si>
  <si>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</si>
  <si>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</si>
  <si>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</si>
  <si>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</si>
  <si>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</si>
  <si>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</si>
  <si>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</si>
  <si>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</si>
  <si>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</si>
  <si>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</si>
  <si>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</si>
  <si>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</si>
  <si>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</si>
  <si>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</si>
  <si>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</si>
  <si>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</si>
  <si>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</si>
  <si>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</si>
  <si>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</si>
  <si>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</si>
  <si>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</si>
  <si>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</si>
  <si>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</si>
  <si>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</si>
  <si>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</si>
  <si>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</si>
  <si>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</si>
  <si>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</si>
  <si>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</si>
  <si>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</si>
  <si>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</si>
  <si>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</si>
  <si>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</si>
  <si>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</si>
  <si>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</si>
  <si>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</si>
  <si>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</si>
  <si>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</si>
  <si>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</si>
  <si>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</si>
  <si>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</si>
  <si>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</si>
  <si>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</si>
  <si>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</si>
  <si>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</si>
  <si>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</si>
  <si>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</si>
  <si>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</si>
  <si>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</si>
  <si>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</si>
  <si>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</si>
  <si>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</si>
  <si>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</si>
  <si>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</si>
  <si>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</si>
  <si>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</si>
  <si>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</si>
  <si>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</si>
  <si>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</si>
  <si>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</si>
  <si>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</si>
  <si>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</si>
  <si>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</si>
  <si>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</si>
  <si>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</si>
  <si>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</si>
  <si>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</si>
  <si>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</si>
  <si>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</si>
  <si>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</si>
  <si>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</si>
  <si>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</si>
  <si>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</si>
  <si>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</si>
  <si>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</si>
  <si>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</si>
  <si>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</si>
  <si>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</si>
  <si>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</si>
  <si>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</si>
  <si>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</si>
  <si>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</si>
  <si>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</si>
  <si>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</si>
  <si>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</si>
  <si>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</si>
  <si>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</si>
  <si>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</si>
  <si>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</si>
  <si>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</si>
  <si>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</si>
  <si>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</si>
  <si>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</si>
  <si>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</si>
  <si>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</si>
  <si>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</si>
  <si>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</si>
  <si>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</si>
  <si>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</si>
  <si>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</si>
  <si>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</si>
  <si>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</si>
  <si>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</si>
  <si>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</si>
  <si>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</si>
  <si>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</si>
  <si>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</si>
  <si>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</si>
  <si>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</si>
  <si>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</si>
  <si>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</si>
  <si>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</si>
  <si>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</si>
  <si>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</si>
  <si>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</si>
  <si>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</si>
  <si>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</si>
  <si>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</si>
  <si>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</si>
  <si>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</si>
  <si>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</si>
  <si>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</si>
  <si>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</si>
  <si>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</si>
  <si>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</si>
  <si>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</si>
  <si>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</si>
  <si>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</si>
  <si>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</si>
  <si>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</si>
  <si>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</si>
  <si>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</si>
  <si>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</si>
  <si>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</si>
  <si>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</si>
  <si>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</si>
  <si>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</si>
  <si>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</si>
  <si>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</si>
  <si>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</si>
  <si>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</si>
  <si>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</si>
  <si>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</si>
  <si>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</si>
  <si>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</si>
  <si>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</si>
  <si>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</si>
  <si>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</si>
  <si>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</si>
  <si>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</si>
  <si>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</si>
  <si>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</si>
  <si>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</si>
  <si>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</si>
  <si>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</si>
  <si>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</si>
  <si>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</si>
  <si>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</si>
  <si>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</si>
  <si>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</si>
  <si>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</si>
  <si>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</si>
  <si>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</si>
  <si>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</si>
  <si>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</si>
  <si>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</si>
  <si>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</si>
  <si>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</si>
  <si>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</si>
  <si>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</si>
  <si>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</si>
  <si>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</si>
  <si>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</si>
  <si>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</si>
  <si>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</si>
  <si>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</si>
  <si>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</si>
  <si>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</si>
  <si>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</si>
  <si>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</si>
  <si>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</si>
  <si>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</si>
  <si>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</si>
  <si>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</si>
  <si>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</si>
  <si>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</si>
  <si>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</si>
  <si>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</si>
  <si>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</si>
  <si>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</si>
  <si>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</si>
  <si>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</si>
  <si>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</si>
  <si>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</si>
  <si>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</si>
  <si>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</si>
  <si>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</si>
  <si>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</si>
  <si>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</si>
  <si>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</si>
  <si>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</si>
  <si>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</si>
  <si>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</si>
  <si>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</si>
  <si>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</si>
  <si>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</si>
  <si>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</si>
  <si>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</si>
  <si>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</si>
  <si>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</si>
  <si>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</si>
  <si>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</si>
  <si>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</si>
  <si>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</si>
  <si>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</si>
  <si>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</si>
  <si>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</si>
  <si>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</si>
  <si>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</si>
  <si>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</si>
  <si>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</si>
  <si>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</si>
  <si>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</si>
  <si>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</si>
  <si>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</si>
  <si>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</si>
  <si>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</si>
  <si>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</si>
  <si>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</si>
  <si>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</si>
  <si>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</si>
  <si>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</si>
  <si>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</si>
  <si>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</si>
  <si>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</si>
  <si>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</si>
  <si>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</si>
  <si>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</si>
  <si>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</si>
  <si>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</si>
  <si>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</si>
  <si>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</si>
  <si>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</si>
  <si>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</si>
  <si>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</si>
  <si>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</si>
  <si>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</si>
  <si>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</si>
  <si>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</si>
  <si>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</si>
  <si>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</si>
  <si>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</si>
  <si>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</si>
  <si>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</si>
  <si>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</si>
  <si>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</si>
  <si>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</si>
  <si>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</si>
  <si>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</si>
  <si>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</si>
  <si>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</si>
  <si>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</si>
  <si>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</si>
  <si>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</si>
  <si>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</si>
  <si>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</si>
  <si>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</si>
  <si>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</si>
  <si>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</si>
  <si>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</si>
  <si>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</si>
  <si>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</si>
  <si>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</si>
  <si>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</si>
  <si>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</si>
  <si>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</si>
  <si>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</si>
  <si>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</si>
  <si>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</si>
  <si>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</si>
  <si>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</si>
  <si>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</si>
  <si>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</si>
  <si>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</si>
  <si>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</si>
  <si>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</si>
  <si>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</si>
  <si>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</si>
  <si>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</si>
  <si>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</si>
  <si>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</si>
  <si>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</si>
  <si>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</si>
  <si>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</si>
  <si>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</si>
  <si>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</si>
  <si>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</si>
  <si>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</si>
  <si>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</si>
  <si>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</si>
  <si>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</si>
  <si>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</si>
  <si>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</si>
  <si>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</si>
  <si>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</si>
  <si>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</si>
  <si>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</si>
  <si>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</si>
  <si>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</si>
  <si>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</si>
  <si>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</si>
  <si>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</si>
  <si>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</si>
  <si>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</si>
  <si>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</si>
  <si>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</si>
  <si>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</si>
  <si>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</si>
  <si>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</si>
  <si>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</si>
  <si>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</si>
  <si>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</si>
  <si>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</si>
  <si>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</si>
  <si>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</si>
  <si>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</si>
  <si>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</si>
  <si>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</si>
  <si>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</si>
  <si>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</si>
  <si>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</si>
  <si>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</si>
  <si>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</si>
  <si>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</si>
  <si>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</si>
  <si>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</si>
  <si>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</si>
  <si>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</si>
  <si>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</si>
  <si>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</si>
  <si>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</si>
  <si>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</si>
  <si>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</si>
  <si>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</si>
  <si>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</si>
  <si>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</si>
  <si>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</si>
  <si>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</si>
  <si>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</si>
  <si>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</si>
  <si>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</si>
  <si>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</si>
  <si>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</si>
  <si>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</si>
  <si>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</si>
  <si>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</si>
  <si>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</si>
  <si>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</si>
  <si>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</si>
  <si>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</si>
  <si>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</si>
  <si>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</si>
  <si>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</si>
  <si>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</si>
  <si>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</si>
  <si>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</si>
  <si>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</si>
  <si>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</si>
  <si>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</si>
  <si>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</si>
  <si>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</si>
  <si>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</si>
  <si>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</si>
  <si>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</si>
  <si>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</si>
  <si>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</si>
  <si>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</si>
  <si>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</si>
  <si>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</si>
  <si>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</si>
  <si>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</si>
  <si>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</si>
  <si>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</si>
  <si>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</si>
  <si>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</si>
  <si>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</si>
  <si>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</si>
  <si>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</si>
  <si>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</si>
  <si>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</si>
  <si>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</si>
  <si>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</si>
  <si>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</si>
  <si>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</si>
  <si>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</si>
  <si>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</si>
  <si>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</si>
  <si>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</si>
  <si>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</si>
  <si>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</si>
  <si>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</si>
  <si>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</si>
  <si>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</si>
  <si>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</si>
  <si>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</si>
  <si>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</si>
  <si>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</si>
  <si>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</si>
  <si>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</si>
  <si>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</si>
  <si>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</si>
  <si>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</si>
  <si>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</si>
  <si>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</si>
  <si>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</si>
  <si>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</si>
  <si>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</si>
  <si>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</si>
  <si>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</si>
  <si>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</si>
  <si>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</si>
  <si>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</si>
  <si>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</si>
  <si>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</si>
  <si>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</si>
  <si>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</si>
  <si>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</si>
  <si>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</si>
  <si>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</si>
  <si>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</si>
  <si>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</si>
  <si>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</si>
  <si>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</si>
  <si>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</si>
  <si>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</si>
  <si>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</si>
  <si>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</si>
  <si>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</si>
  <si>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</si>
  <si>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</si>
  <si>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</si>
  <si>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</si>
  <si>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</si>
  <si>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</si>
  <si>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</si>
  <si>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</si>
  <si>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</si>
  <si>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</si>
  <si>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</si>
  <si>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</si>
  <si>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</si>
  <si>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</si>
  <si>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</si>
  <si>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</si>
  <si>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</si>
  <si>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</si>
  <si>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</si>
  <si>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</si>
  <si>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</si>
  <si>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</si>
  <si>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</si>
  <si>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</si>
  <si>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</si>
  <si>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</si>
  <si>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</si>
  <si>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</si>
  <si>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</si>
  <si>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</si>
  <si>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</si>
  <si>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</si>
  <si>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</si>
  <si>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</si>
  <si>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</si>
  <si>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</si>
  <si>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</si>
  <si>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</si>
  <si>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</si>
  <si>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</si>
  <si>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</si>
  <si>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</si>
  <si>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</si>
  <si>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</si>
  <si>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</si>
  <si>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</si>
  <si>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</si>
  <si>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</si>
  <si>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</si>
  <si>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</si>
  <si>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</si>
  <si>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</si>
  <si>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</si>
  <si>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</si>
  <si>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</si>
  <si>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</si>
  <si>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</si>
  <si>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</si>
  <si>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</si>
  <si>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</si>
  <si>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</si>
  <si>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</si>
  <si>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</si>
  <si>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</si>
  <si>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</si>
  <si>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</si>
  <si>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</si>
  <si>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</si>
  <si>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</si>
  <si>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</si>
  <si>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</si>
  <si>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</si>
  <si>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</si>
  <si>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</si>
  <si>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</si>
  <si>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</si>
  <si>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</si>
  <si>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</si>
  <si>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</si>
  <si>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</si>
  <si>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</si>
  <si>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</si>
  <si>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</si>
  <si>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</si>
  <si>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</si>
  <si>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</si>
  <si>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</si>
  <si>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</si>
  <si>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</si>
  <si>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</si>
  <si>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</si>
  <si>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</si>
  <si>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</si>
  <si>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</si>
  <si>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</si>
  <si>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</si>
  <si>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</si>
  <si>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</si>
  <si>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</si>
  <si>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</si>
  <si>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</si>
  <si>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</si>
  <si>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</si>
  <si>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</si>
  <si>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</si>
  <si>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</si>
  <si>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</si>
  <si>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</si>
  <si>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</si>
  <si>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</si>
  <si>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</si>
  <si>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</si>
  <si>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</si>
  <si>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</si>
  <si>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</si>
  <si>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</si>
  <si>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</si>
  <si>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</si>
  <si>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</si>
  <si>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</si>
  <si>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</si>
  <si>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</si>
  <si>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</si>
  <si>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</si>
  <si>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</si>
  <si>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</si>
  <si>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</si>
  <si>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</si>
  <si>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</si>
  <si>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</si>
  <si>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</si>
  <si>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</si>
  <si>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</si>
  <si>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</si>
  <si>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</si>
  <si>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</si>
  <si>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</si>
  <si>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</si>
  <si>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</si>
  <si>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</si>
  <si>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</si>
  <si>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</si>
  <si>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</si>
  <si>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</si>
  <si>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</si>
  <si>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</si>
  <si>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</si>
  <si>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</si>
  <si>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</si>
  <si>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</si>
  <si>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</si>
  <si>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</si>
  <si>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</si>
  <si>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</si>
  <si>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</si>
  <si>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</si>
  <si>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</si>
  <si>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</si>
  <si>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</si>
  <si>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</si>
  <si>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</si>
  <si>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</si>
  <si>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</si>
  <si>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</si>
  <si>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</si>
  <si>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</si>
  <si>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</si>
  <si>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</si>
  <si>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</si>
  <si>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</si>
  <si>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</si>
  <si>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</si>
  <si>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</si>
  <si>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</si>
  <si>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</si>
  <si>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</si>
  <si>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</si>
  <si>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</si>
  <si>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</si>
  <si>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</si>
  <si>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</si>
  <si>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</si>
  <si>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</si>
  <si>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</si>
  <si>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</si>
  <si>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</si>
  <si>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</si>
  <si>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</si>
  <si>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</si>
  <si>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</si>
  <si>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</si>
  <si>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</si>
  <si>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</si>
  <si>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</si>
  <si>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</si>
  <si>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</si>
  <si>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</si>
  <si>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</si>
  <si>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</si>
  <si>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</si>
  <si>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</si>
  <si>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</si>
  <si>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</si>
  <si>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</si>
  <si>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</si>
  <si>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</si>
  <si>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</si>
  <si>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</si>
  <si>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</si>
  <si>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</si>
  <si>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</si>
  <si>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</si>
  <si>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</si>
  <si>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</si>
  <si>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</si>
  <si>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</si>
  <si>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</si>
  <si>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</si>
  <si>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</si>
  <si>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</si>
  <si>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</si>
  <si>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</si>
  <si>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</si>
  <si>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</si>
  <si>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</si>
  <si>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</si>
  <si>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</si>
  <si>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</si>
  <si>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</si>
  <si>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</si>
  <si>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</si>
  <si>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</si>
  <si>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</si>
  <si>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</si>
  <si>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</si>
  <si>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</si>
  <si>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</si>
  <si>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</si>
  <si>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</si>
  <si>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</si>
  <si>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</si>
  <si>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</si>
  <si>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</si>
  <si>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</si>
  <si>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</si>
  <si>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</si>
  <si>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</si>
  <si>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</si>
  <si>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</si>
  <si>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</si>
  <si>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</si>
  <si>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</si>
  <si>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</si>
  <si>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</si>
  <si>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</si>
  <si>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</si>
  <si>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</si>
  <si>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</si>
  <si>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</si>
  <si>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</si>
  <si>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</si>
  <si>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</si>
  <si>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</si>
  <si>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</si>
  <si>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</si>
  <si>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</si>
  <si>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</si>
  <si>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</si>
  <si>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</si>
  <si>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</si>
  <si>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</si>
  <si>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</si>
  <si>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</si>
  <si>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</si>
  <si>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</si>
  <si>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</si>
  <si>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</si>
  <si>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</si>
  <si>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</si>
  <si>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</si>
  <si>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</si>
  <si>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</si>
  <si>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</si>
  <si>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</si>
  <si>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</si>
  <si>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</si>
  <si>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</si>
  <si>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</si>
  <si>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</si>
  <si>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</si>
  <si>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</si>
  <si>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</si>
  <si>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</si>
  <si>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</si>
  <si>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</si>
  <si>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</si>
  <si>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</si>
  <si>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</si>
  <si>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</si>
  <si>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</si>
  <si>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</si>
  <si>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</si>
  <si>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</si>
  <si>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</si>
  <si>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</si>
  <si>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</si>
  <si>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</si>
  <si>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</si>
  <si>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</si>
  <si>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</si>
  <si>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</si>
  <si>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</si>
  <si>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</si>
  <si>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</si>
  <si>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</si>
  <si>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</si>
  <si>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</si>
  <si>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</si>
  <si>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</si>
  <si>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</si>
  <si>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</si>
  <si>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</si>
  <si>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</si>
  <si>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</si>
  <si>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</si>
  <si>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</si>
  <si>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</si>
  <si>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</si>
  <si>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</si>
  <si>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</si>
  <si>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</si>
  <si>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</si>
  <si>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</si>
  <si>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</si>
  <si>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</si>
  <si>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</si>
  <si>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</si>
  <si>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</si>
  <si>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</si>
  <si>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</si>
  <si>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</si>
  <si>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</si>
  <si>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</si>
  <si>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</si>
  <si>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</si>
  <si>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</si>
  <si>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</si>
  <si>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</si>
  <si>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</si>
  <si>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</si>
  <si>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</si>
  <si>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</si>
  <si>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</si>
  <si>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</si>
  <si>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</si>
  <si>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</si>
  <si>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</si>
  <si>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</si>
  <si>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</si>
  <si>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</si>
  <si>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</si>
  <si>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</si>
  <si>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</si>
  <si>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</si>
  <si>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</si>
  <si>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</si>
  <si>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</si>
  <si>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</si>
  <si>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</si>
  <si>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</si>
  <si>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</si>
  <si>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</si>
  <si>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</si>
  <si>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</si>
  <si>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</si>
  <si>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</si>
  <si>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</si>
  <si>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</si>
  <si>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</si>
  <si>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</si>
  <si>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</si>
  <si>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</si>
  <si>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</si>
  <si>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</si>
  <si>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</si>
  <si>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</si>
  <si>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</si>
  <si>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</si>
  <si>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</si>
  <si>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</si>
  <si>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</si>
  <si>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</si>
  <si>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</si>
  <si>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</si>
  <si>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</si>
  <si>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</si>
  <si>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</si>
  <si>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</si>
  <si>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</si>
  <si>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</si>
  <si>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</si>
  <si>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</si>
  <si>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</si>
  <si>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</si>
  <si>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</si>
  <si>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</si>
  <si>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</si>
  <si>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</si>
  <si>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</si>
  <si>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</si>
  <si>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</si>
  <si>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</si>
  <si>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</si>
  <si>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</si>
  <si>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</si>
  <si>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</si>
  <si>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</si>
  <si>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</si>
  <si>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</si>
  <si>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</si>
  <si>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</si>
  <si>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</si>
  <si>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</si>
  <si>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</si>
  <si>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</si>
  <si>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</si>
  <si>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</si>
  <si>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</si>
  <si>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</si>
  <si>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</si>
  <si>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</si>
  <si>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</si>
  <si>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</si>
  <si>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</si>
  <si>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</si>
  <si>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</si>
  <si>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</si>
  <si>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</si>
  <si>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</si>
  <si>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</si>
  <si>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</si>
  <si>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</si>
  <si>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</si>
  <si>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</si>
  <si>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</si>
  <si>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</si>
  <si>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</si>
  <si>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</si>
  <si>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</si>
  <si>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</si>
  <si>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</si>
  <si>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</si>
  <si>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</si>
  <si>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</si>
  <si>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</si>
  <si>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</si>
  <si>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</si>
  <si>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</si>
  <si>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</si>
  <si>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</si>
  <si>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</si>
  <si>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</si>
  <si>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</si>
  <si>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</si>
  <si>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</si>
  <si>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</si>
  <si>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</si>
  <si>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</si>
  <si>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</si>
  <si>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</si>
  <si>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</si>
  <si>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</si>
  <si>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</si>
  <si>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</si>
  <si>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</si>
  <si>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</si>
  <si>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</si>
  <si>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</si>
  <si>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</si>
  <si>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</si>
  <si>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</si>
  <si>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</si>
  <si>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</si>
  <si>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</si>
  <si>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</si>
  <si>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</si>
  <si>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</si>
  <si>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</si>
  <si>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</si>
  <si>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</si>
  <si>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</si>
  <si>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</si>
  <si>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</si>
  <si>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</si>
  <si>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</si>
  <si>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</si>
  <si>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</si>
  <si>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</si>
  <si>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</si>
  <si>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</si>
  <si>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</si>
  <si>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</si>
  <si>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</si>
  <si>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</si>
  <si>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</si>
  <si>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</si>
  <si>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</si>
  <si>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</si>
  <si>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</si>
  <si>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</si>
  <si>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</si>
  <si>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</si>
  <si>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</si>
  <si>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</si>
  <si>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</si>
  <si>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</si>
  <si>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</si>
  <si>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</si>
  <si>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</si>
  <si>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</si>
  <si>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</si>
  <si>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</si>
  <si>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</si>
  <si>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</si>
  <si>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</si>
  <si>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</si>
  <si>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</si>
  <si>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</si>
  <si>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</si>
  <si>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</si>
  <si>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</si>
  <si>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</si>
  <si>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</si>
  <si>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</si>
  <si>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</si>
  <si>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</si>
  <si>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</si>
  <si>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</si>
  <si>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</si>
  <si>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</si>
  <si>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</si>
  <si>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</si>
  <si>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</si>
  <si>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</si>
  <si>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</si>
  <si>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</si>
  <si>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</si>
  <si>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</si>
  <si>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</si>
  <si>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</si>
  <si>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</si>
  <si>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</si>
  <si>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</si>
  <si>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</si>
  <si>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</si>
  <si>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</si>
  <si>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</si>
  <si>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</si>
  <si>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</si>
  <si>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</si>
  <si>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</si>
  <si>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</si>
  <si>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</si>
  <si>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</si>
  <si>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</si>
  <si>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</si>
  <si>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</si>
  <si>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</si>
  <si>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</si>
  <si>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</si>
  <si>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</si>
  <si>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</si>
  <si>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</si>
  <si>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</si>
  <si>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</si>
  <si>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</si>
  <si>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</si>
  <si>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</si>
  <si>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</si>
  <si>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</si>
  <si>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</si>
  <si>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</si>
  <si>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</si>
  <si>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</si>
  <si>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</si>
  <si>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</si>
  <si>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</si>
  <si>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</si>
  <si>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</si>
  <si>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</si>
  <si>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</si>
  <si>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</si>
  <si>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</si>
  <si>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</si>
  <si>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</si>
  <si>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</si>
  <si>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</si>
  <si>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</si>
  <si>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</si>
  <si>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</si>
  <si>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</si>
  <si>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</si>
  <si>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</si>
  <si>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</si>
  <si>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</si>
  <si>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</si>
  <si>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</si>
  <si>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</si>
  <si>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</si>
  <si>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</si>
  <si>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</si>
  <si>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</si>
  <si>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</si>
  <si>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</si>
  <si>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</si>
  <si>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</si>
  <si>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</si>
  <si>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</si>
  <si>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</si>
  <si>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</si>
  <si>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</si>
  <si>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</si>
  <si>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</si>
  <si>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</si>
  <si>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</si>
  <si>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</si>
  <si>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</si>
  <si>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</si>
  <si>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</si>
  <si>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</si>
  <si>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</si>
  <si>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</si>
  <si>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</si>
  <si>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</si>
  <si>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</si>
  <si>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</si>
  <si>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</si>
  <si>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</si>
  <si>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</si>
  <si>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</si>
  <si>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</si>
  <si>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</si>
  <si>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</si>
  <si>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</si>
  <si>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</si>
  <si>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</si>
  <si>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</si>
  <si>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</si>
  <si>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</si>
  <si>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</si>
  <si>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</si>
  <si>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</si>
  <si>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</si>
  <si>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</si>
  <si>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</si>
  <si>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</si>
  <si>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</si>
  <si>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</si>
  <si>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</si>
  <si>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</si>
  <si>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</si>
  <si>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</si>
  <si>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</si>
  <si>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</si>
  <si>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</si>
  <si>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</si>
  <si>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</si>
  <si>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</si>
  <si>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</si>
  <si>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</si>
  <si>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</si>
  <si>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</si>
  <si>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</si>
  <si>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</si>
  <si>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</si>
  <si>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</si>
  <si>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</si>
  <si>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</si>
  <si>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</si>
  <si>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</si>
  <si>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</si>
  <si>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</si>
  <si>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</si>
  <si>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</si>
  <si>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</si>
  <si>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</si>
  <si>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</si>
  <si>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</si>
  <si>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</si>
  <si>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</si>
  <si>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</si>
  <si>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</si>
  <si>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</si>
  <si>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</si>
  <si>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</si>
  <si>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</si>
  <si>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</si>
  <si>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</si>
  <si>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</si>
  <si>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</si>
  <si>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</si>
  <si>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</si>
  <si>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</si>
  <si>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</si>
  <si>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</si>
  <si>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</si>
  <si>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</si>
  <si>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</si>
  <si>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</si>
  <si>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</si>
  <si>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</si>
  <si>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</si>
  <si>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</si>
  <si>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</si>
  <si>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</si>
  <si>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</si>
  <si>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</si>
  <si>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</si>
  <si>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</si>
  <si>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</si>
  <si>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</si>
  <si>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</si>
  <si>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</si>
  <si>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</si>
  <si>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</si>
  <si>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</si>
  <si>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</si>
  <si>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</si>
  <si>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</si>
  <si>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</si>
  <si>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</si>
  <si>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</si>
  <si>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</si>
  <si>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</si>
  <si>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</si>
  <si>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</si>
  <si>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</si>
  <si>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</si>
  <si>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</si>
  <si>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</si>
  <si>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</si>
  <si>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</si>
  <si>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</si>
  <si>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</si>
  <si>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</si>
  <si>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</si>
  <si>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</si>
  <si>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</si>
  <si>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</si>
  <si>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</si>
  <si>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</si>
  <si>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</si>
  <si>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</si>
  <si>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</si>
  <si>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</si>
  <si>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</si>
  <si>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</si>
  <si>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</si>
  <si>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</si>
  <si>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</si>
  <si>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</si>
  <si>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</si>
  <si>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</si>
  <si>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</si>
  <si>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</si>
  <si>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</si>
  <si>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</si>
  <si>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</si>
  <si>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</si>
  <si>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</si>
  <si>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</si>
  <si>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</si>
  <si>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</si>
  <si>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</si>
  <si>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</si>
  <si>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</si>
  <si>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</si>
  <si>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</si>
  <si>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</si>
  <si>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</si>
  <si>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</si>
  <si>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</si>
  <si>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</si>
  <si>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</si>
  <si>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</si>
  <si>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</si>
  <si>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</si>
  <si>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</si>
  <si>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</si>
  <si>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</si>
  <si>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</si>
  <si>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</si>
  <si>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</si>
  <si>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</si>
  <si>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</si>
  <si>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</si>
  <si>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</si>
  <si>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</si>
  <si>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</si>
  <si>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</si>
  <si>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</si>
  <si>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</si>
  <si>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</si>
  <si>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</si>
  <si>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</si>
  <si>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</si>
  <si>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</si>
  <si>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</si>
  <si>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</si>
  <si>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</si>
  <si>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</si>
  <si>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</si>
  <si>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</si>
  <si>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</si>
  <si>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</si>
  <si>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</si>
  <si>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</si>
  <si>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</si>
  <si>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</si>
  <si>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</si>
  <si>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</si>
  <si>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</si>
  <si>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</si>
  <si>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</si>
  <si>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</si>
  <si>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</si>
  <si>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</si>
  <si>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</si>
  <si>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</si>
  <si>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</si>
  <si>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</si>
  <si>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</si>
  <si>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</si>
  <si>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</si>
  <si>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</si>
  <si>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</si>
  <si>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</si>
  <si>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</si>
  <si>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</si>
  <si>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</si>
  <si>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</si>
  <si>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</si>
  <si>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</si>
  <si>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</si>
  <si>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</si>
  <si>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</si>
  <si>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</si>
  <si>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</si>
  <si>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</si>
  <si>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</si>
  <si>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</si>
  <si>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</si>
  <si>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</si>
  <si>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</si>
  <si>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</si>
  <si>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</si>
  <si>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</si>
  <si>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</si>
  <si>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</si>
  <si>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</si>
  <si>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</si>
  <si>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</si>
  <si>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</si>
  <si>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</si>
  <si>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</si>
  <si>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</si>
  <si>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</si>
  <si>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</si>
  <si>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</si>
  <si>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</si>
  <si>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</si>
  <si>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</si>
  <si>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</si>
  <si>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</si>
  <si>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</si>
  <si>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</si>
  <si>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</si>
  <si>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</si>
  <si>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</si>
  <si>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</si>
  <si>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</si>
  <si>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</si>
  <si>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</si>
  <si>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</si>
  <si>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</si>
  <si>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</si>
  <si>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</si>
  <si>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</si>
  <si>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</si>
  <si>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</si>
  <si>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</si>
  <si>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</si>
  <si>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</si>
  <si>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</si>
  <si>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</si>
  <si>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</si>
  <si>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</si>
  <si>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</si>
  <si>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</si>
  <si>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</si>
  <si>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</si>
  <si>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</si>
  <si>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</si>
  <si>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</si>
  <si>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</si>
  <si>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</si>
  <si>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</si>
  <si>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</si>
  <si>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</si>
  <si>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</si>
  <si>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</si>
  <si>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</si>
  <si>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</si>
  <si>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</si>
  <si>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</si>
  <si>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</si>
  <si>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</si>
  <si>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</si>
  <si>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</si>
  <si>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</si>
  <si>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</si>
  <si>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</si>
  <si>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</si>
  <si>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</si>
  <si>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</si>
  <si>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</si>
  <si>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</si>
  <si>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</si>
  <si>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</si>
  <si>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</si>
  <si>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</si>
  <si>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</si>
  <si>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</si>
  <si>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</si>
  <si>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</si>
  <si>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</si>
  <si>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</si>
  <si>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</si>
  <si>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</si>
  <si>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</si>
  <si>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</si>
  <si>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</si>
  <si>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</si>
  <si>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</si>
  <si>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</si>
  <si>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</si>
  <si>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</si>
  <si>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</si>
  <si>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</si>
  <si>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</si>
  <si>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</si>
  <si>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</si>
  <si>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</si>
  <si>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</si>
  <si>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</si>
  <si>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</si>
  <si>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</si>
  <si>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</si>
  <si>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</si>
  <si>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</si>
  <si>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</si>
  <si>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</si>
  <si>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</si>
  <si>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</si>
  <si>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</si>
  <si>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</si>
  <si>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</si>
  <si>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</si>
  <si>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</si>
  <si>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</si>
  <si>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</si>
  <si>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</si>
  <si>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</si>
  <si>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</si>
  <si>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</si>
  <si>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</si>
  <si>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</si>
  <si>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</si>
  <si>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</si>
  <si>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</si>
  <si>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</si>
  <si>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</si>
  <si>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</si>
  <si>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</si>
  <si>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</si>
  <si>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</si>
  <si>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</si>
  <si>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</si>
  <si>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</si>
  <si>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</si>
  <si>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</si>
  <si>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</si>
  <si>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</si>
  <si>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</si>
  <si>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</si>
  <si>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</si>
  <si>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</si>
  <si>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</si>
  <si>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</si>
  <si>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</si>
  <si>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</si>
  <si>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</si>
  <si>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</si>
  <si>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</si>
  <si>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</si>
  <si>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</si>
  <si>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</si>
  <si>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</si>
  <si>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</si>
  <si>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</si>
  <si>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</si>
  <si>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</si>
  <si>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</si>
  <si>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</si>
  <si>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</si>
  <si>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</si>
  <si>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</si>
  <si>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</si>
  <si>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</si>
  <si>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</si>
  <si>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</si>
  <si>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</si>
  <si>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</si>
  <si>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</si>
  <si>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</si>
  <si>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</si>
  <si>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</si>
  <si>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</si>
  <si>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</si>
  <si>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</si>
  <si>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</si>
  <si>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</si>
  <si>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</si>
  <si>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</si>
  <si>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</si>
  <si>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</si>
  <si>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</si>
  <si>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</si>
  <si>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</si>
  <si>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</si>
  <si>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</si>
  <si>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</si>
  <si>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</si>
  <si>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</si>
  <si>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</si>
  <si>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</si>
  <si>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</si>
  <si>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</si>
  <si>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</si>
  <si>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</si>
  <si>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</si>
  <si>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</si>
  <si>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</si>
  <si>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</si>
  <si>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</si>
  <si>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</si>
  <si>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</si>
  <si>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</si>
  <si>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</si>
  <si>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</si>
  <si>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</si>
  <si>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</si>
  <si>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</si>
  <si>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</si>
  <si>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</si>
  <si>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</si>
  <si>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</si>
  <si>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</si>
  <si>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</si>
  <si>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</si>
  <si>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</si>
  <si>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</si>
  <si>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</si>
  <si>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</si>
  <si>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</si>
  <si>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</si>
  <si>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</si>
  <si>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</si>
  <si>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</si>
  <si>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</si>
  <si>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</si>
  <si>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</si>
  <si>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</si>
  <si>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</si>
  <si>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</si>
  <si>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</si>
  <si>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</si>
  <si>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</si>
  <si>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</si>
  <si>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</si>
  <si>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</si>
  <si>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</si>
  <si>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</si>
  <si>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</si>
  <si>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</si>
  <si>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</si>
  <si>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</si>
  <si>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</si>
  <si>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</si>
  <si>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</si>
  <si>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</si>
  <si>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</si>
  <si>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</si>
  <si>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</si>
  <si>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</si>
  <si>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</si>
  <si>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</si>
  <si>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</si>
  <si>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</si>
  <si>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</si>
  <si>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</si>
  <si>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</si>
  <si>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</si>
  <si>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</si>
  <si>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</si>
  <si>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</si>
  <si>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</si>
  <si>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</si>
  <si>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</si>
  <si>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</si>
  <si>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</si>
  <si>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</si>
  <si>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</si>
  <si>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</si>
  <si>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</si>
  <si>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</si>
  <si>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</si>
  <si>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</si>
  <si>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</si>
  <si>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</si>
  <si>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</si>
  <si>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</si>
  <si>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</si>
  <si>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</si>
  <si>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</si>
  <si>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</si>
  <si>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</si>
  <si>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</si>
  <si>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</si>
  <si>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</si>
  <si>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</si>
  <si>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</si>
  <si>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</si>
  <si>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</si>
  <si>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</si>
  <si>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</si>
  <si>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</si>
  <si>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</si>
  <si>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</si>
  <si>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</si>
  <si>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</si>
  <si>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</si>
  <si>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</si>
  <si>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</si>
  <si>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</si>
  <si>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</si>
  <si>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</si>
  <si>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</si>
  <si>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</si>
  <si>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</si>
  <si>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</si>
  <si>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</si>
  <si>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</si>
  <si>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</si>
  <si>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</si>
  <si>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</si>
  <si>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</si>
  <si>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</si>
  <si>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</si>
  <si>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</si>
  <si>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</si>
  <si>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</si>
  <si>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</si>
  <si>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</si>
  <si>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</si>
  <si>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</si>
  <si>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</si>
  <si>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</si>
  <si>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</si>
  <si>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</si>
  <si>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</si>
  <si>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</si>
  <si>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</si>
  <si>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</si>
  <si>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</si>
  <si>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</si>
  <si>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</si>
  <si>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</si>
  <si>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</si>
  <si>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</si>
  <si>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</si>
  <si>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</si>
  <si>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</si>
  <si>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</si>
  <si>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</si>
  <si>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</si>
  <si>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</si>
  <si>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</si>
  <si>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</si>
  <si>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</si>
  <si>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</si>
  <si>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</si>
  <si>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</si>
  <si>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</si>
  <si>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</si>
  <si>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</si>
  <si>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</si>
  <si>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</si>
  <si>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</si>
  <si>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</si>
  <si>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</si>
  <si>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</si>
  <si>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</si>
  <si>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</si>
  <si>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</si>
  <si>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</si>
  <si>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</si>
  <si>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</si>
  <si>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</si>
  <si>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</si>
  <si>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</si>
  <si>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</si>
  <si>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</si>
  <si>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</si>
  <si>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</si>
  <si>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</si>
  <si>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</si>
  <si>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</si>
  <si>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</si>
  <si>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</si>
  <si>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</si>
  <si>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</si>
  <si>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</si>
  <si>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</si>
  <si>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</si>
  <si>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</si>
  <si>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</si>
  <si>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</si>
  <si>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</si>
  <si>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</si>
  <si>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</si>
  <si>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</si>
  <si>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</si>
  <si>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</si>
  <si>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</si>
  <si>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</si>
  <si>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</si>
  <si>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</si>
  <si>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</si>
  <si>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</si>
  <si>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</si>
  <si>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</si>
  <si>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</si>
  <si>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</si>
  <si>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</si>
  <si>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</si>
  <si>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</si>
  <si>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</si>
  <si>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</si>
  <si>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</si>
  <si>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</si>
  <si>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</si>
  <si>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</si>
  <si>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</si>
  <si>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</si>
  <si>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</si>
  <si>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</si>
  <si>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</si>
  <si>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</si>
  <si>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</si>
  <si>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</si>
  <si>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</si>
  <si>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</si>
  <si>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</si>
  <si>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</si>
  <si>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</si>
  <si>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</si>
  <si>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</si>
  <si>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</si>
  <si>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</si>
  <si>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</si>
  <si>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</si>
  <si>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</si>
  <si>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</si>
  <si>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</si>
  <si>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</si>
  <si>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</si>
  <si>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</si>
  <si>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</si>
  <si>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</si>
  <si>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</si>
  <si>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</si>
  <si>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</si>
  <si>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</si>
  <si>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</si>
  <si>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</si>
  <si>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</si>
  <si>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</si>
  <si>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</si>
  <si>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</si>
  <si>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</si>
  <si>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</si>
  <si>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</si>
  <si>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</si>
  <si>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</si>
  <si>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</si>
  <si>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</si>
  <si>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</si>
  <si>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</si>
  <si>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</si>
  <si>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</si>
  <si>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</si>
  <si>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</si>
  <si>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</si>
  <si>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</si>
  <si>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</si>
  <si>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</si>
  <si>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</si>
  <si>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</si>
  <si>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</si>
  <si>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</si>
  <si>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</si>
  <si>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</si>
  <si>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</si>
  <si>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</si>
  <si>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</si>
  <si>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</si>
  <si>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</si>
  <si>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</si>
  <si>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</si>
  <si>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</si>
  <si>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</si>
  <si>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</si>
  <si>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</si>
  <si>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</si>
  <si>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</si>
  <si>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</si>
  <si>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</si>
  <si>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</si>
  <si>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</si>
  <si>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</si>
  <si>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</si>
  <si>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</si>
  <si>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</si>
  <si>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</si>
  <si>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</si>
  <si>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</si>
  <si>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</si>
  <si>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</si>
  <si>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</si>
  <si>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</si>
  <si>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</si>
  <si>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</si>
  <si>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</si>
  <si>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</si>
  <si>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</si>
  <si>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</si>
  <si>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</si>
  <si>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</si>
  <si>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</si>
  <si>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</si>
  <si>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</si>
  <si>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</si>
  <si>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</si>
  <si>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</si>
  <si>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</si>
  <si>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</si>
  <si>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</si>
  <si>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</si>
  <si>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</si>
  <si>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</si>
  <si>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</si>
  <si>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</si>
  <si>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</si>
  <si>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</si>
  <si>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</si>
  <si>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</si>
  <si>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</si>
  <si>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</si>
  <si>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</si>
  <si>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</si>
  <si>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</si>
  <si>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</si>
  <si>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</si>
  <si>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</si>
  <si>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</si>
  <si>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</si>
  <si>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</si>
  <si>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</si>
  <si>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</si>
  <si>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</si>
  <si>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</si>
  <si>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</si>
  <si>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</si>
  <si>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</si>
  <si>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</si>
  <si>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</si>
  <si>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</si>
  <si>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</si>
  <si>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</si>
  <si>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</si>
  <si>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</si>
  <si>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</si>
  <si>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</si>
  <si>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</si>
  <si>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</si>
  <si>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</si>
  <si>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</si>
  <si>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</si>
  <si>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</si>
  <si>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</si>
  <si>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</si>
  <si>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</si>
  <si>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</si>
  <si>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</si>
  <si>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</si>
  <si>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</si>
  <si>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</si>
  <si>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</si>
  <si>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</si>
  <si>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</si>
  <si>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</si>
  <si>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</si>
  <si>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</si>
  <si>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</si>
  <si>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</si>
  <si>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</si>
  <si>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</si>
  <si>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</si>
  <si>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</si>
  <si>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</si>
  <si>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</si>
  <si>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</si>
  <si>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</si>
  <si>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</si>
  <si>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</si>
  <si>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</si>
  <si>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</si>
  <si>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</si>
  <si>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</si>
  <si>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</si>
  <si>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</si>
  <si>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</si>
  <si>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</si>
  <si>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</si>
  <si>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</si>
  <si>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</si>
  <si>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</si>
  <si>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</si>
  <si>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</si>
  <si>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</si>
  <si>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</si>
  <si>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</si>
  <si>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</si>
  <si>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</si>
  <si>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</si>
  <si>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</si>
  <si>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</si>
  <si>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</si>
  <si>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</si>
  <si>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</si>
  <si>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</si>
  <si>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</si>
  <si>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</si>
  <si>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</si>
  <si>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</si>
  <si>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</si>
  <si>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</si>
  <si>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</si>
  <si>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</si>
  <si>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</si>
  <si>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</si>
  <si>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</si>
  <si>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</si>
  <si>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</si>
  <si>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</si>
  <si>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</si>
  <si>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</si>
  <si>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</si>
  <si>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</si>
  <si>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</si>
  <si>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</si>
  <si>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</si>
  <si>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</si>
  <si>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</si>
  <si>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</si>
  <si>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</si>
  <si>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</si>
  <si>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</si>
  <si>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</si>
  <si>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</si>
  <si>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</si>
  <si>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</si>
  <si>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</si>
  <si>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</si>
  <si>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</si>
  <si>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</si>
  <si>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</si>
  <si>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</si>
  <si>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</si>
  <si>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</si>
  <si>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</si>
  <si>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</si>
  <si>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</si>
  <si>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</si>
  <si>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</si>
  <si>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</si>
  <si>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</si>
  <si>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</si>
  <si>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</si>
  <si>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</si>
  <si>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</si>
  <si>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</si>
  <si>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</si>
  <si>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</si>
  <si>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</si>
  <si>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</si>
  <si>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</si>
  <si>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</si>
  <si>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</si>
  <si>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</si>
  <si>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</si>
  <si>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</si>
  <si>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</si>
  <si>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</si>
  <si>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</si>
  <si>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</si>
  <si>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</si>
  <si>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</si>
  <si>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</si>
  <si>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</si>
  <si>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</si>
  <si>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</si>
  <si>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</si>
  <si>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</si>
  <si>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</si>
  <si>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</si>
  <si>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</si>
  <si>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</si>
  <si>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</si>
  <si>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</si>
  <si>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</si>
  <si>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</si>
  <si>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</si>
  <si>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</si>
  <si>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</si>
  <si>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</si>
  <si>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</si>
  <si>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</si>
  <si>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</si>
  <si>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</si>
  <si>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</si>
  <si>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</si>
  <si>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</si>
  <si>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</si>
  <si>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</si>
  <si>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</si>
  <si>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</si>
  <si>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</si>
  <si>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</si>
  <si>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</si>
  <si>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</si>
  <si>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</si>
  <si>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</si>
  <si>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</si>
  <si>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</si>
  <si>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</si>
  <si>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</si>
  <si>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</si>
  <si>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</si>
  <si>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</si>
  <si>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</si>
  <si>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</si>
  <si>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</si>
  <si>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</si>
  <si>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</si>
  <si>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</si>
  <si>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</si>
  <si>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</si>
  <si>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</si>
  <si>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</si>
  <si>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</si>
  <si>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</si>
  <si>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</si>
  <si>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</si>
  <si>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</si>
  <si>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</si>
  <si>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</si>
  <si>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</si>
  <si>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</si>
  <si>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</si>
  <si>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</si>
  <si>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</si>
  <si>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</si>
  <si>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</si>
  <si>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</si>
  <si>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</si>
  <si>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</si>
  <si>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</si>
  <si>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</si>
  <si>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</si>
  <si>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</si>
  <si>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</si>
  <si>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</si>
  <si>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</si>
  <si>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</si>
  <si>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</si>
  <si>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</si>
  <si>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</si>
  <si>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</si>
  <si>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</si>
  <si>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</si>
  <si>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</si>
  <si>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</si>
  <si>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</si>
  <si>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</si>
  <si>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</si>
  <si>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</si>
  <si>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</si>
  <si>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</si>
  <si>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</si>
  <si>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</si>
  <si>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</si>
  <si>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</si>
  <si>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</si>
  <si>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</si>
  <si>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</si>
  <si>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</si>
  <si>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</si>
  <si>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</si>
  <si>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</si>
  <si>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</si>
  <si>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</si>
  <si>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</si>
  <si>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</si>
  <si>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</si>
  <si>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</si>
  <si>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</si>
  <si>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</si>
  <si>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</si>
  <si>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</si>
  <si>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</si>
  <si>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</si>
  <si>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</si>
  <si>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</si>
  <si>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</si>
  <si>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</si>
  <si>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</si>
  <si>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</si>
  <si>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</si>
  <si>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</si>
  <si>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</si>
  <si>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</si>
  <si>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</si>
  <si>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</si>
  <si>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</si>
  <si>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</si>
  <si>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</si>
  <si>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</si>
  <si>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</si>
  <si>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</si>
  <si>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</si>
  <si>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</si>
  <si>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</si>
  <si>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</si>
  <si>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</si>
  <si>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</si>
  <si>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</si>
  <si>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</si>
  <si>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</si>
  <si>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</si>
  <si>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</si>
  <si>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</si>
  <si>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</si>
  <si>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</si>
  <si>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</si>
  <si>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</si>
  <si>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</si>
  <si>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</si>
  <si>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</si>
  <si>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</si>
  <si>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</si>
  <si>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</si>
  <si>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</si>
  <si>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</si>
  <si>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</si>
  <si>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</si>
  <si>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</si>
  <si>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</si>
  <si>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</si>
  <si>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</si>
  <si>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</si>
  <si>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</si>
  <si>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</si>
  <si>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</si>
  <si>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</si>
  <si>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</si>
  <si>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</si>
  <si>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</si>
  <si>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</si>
  <si>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</si>
  <si>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</si>
  <si>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</si>
  <si>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</si>
  <si>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</si>
  <si>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</si>
  <si>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</si>
  <si>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</si>
  <si>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</si>
  <si>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</si>
  <si>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</si>
  <si>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</si>
  <si>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</si>
  <si>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</si>
  <si>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</si>
  <si>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</si>
  <si>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</si>
  <si>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</si>
  <si>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</si>
  <si>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</si>
  <si>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</si>
  <si>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</si>
  <si>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</si>
  <si>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</si>
  <si>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</si>
  <si>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</si>
  <si>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</si>
  <si>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</si>
  <si>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</si>
  <si>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</si>
  <si>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</si>
  <si>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</si>
  <si>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</si>
  <si>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</si>
  <si>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</si>
  <si>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</si>
  <si>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</si>
  <si>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</si>
  <si>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</si>
  <si>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</si>
  <si>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</si>
  <si>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</si>
  <si>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</si>
  <si>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</si>
  <si>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</si>
  <si>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</si>
  <si>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</si>
  <si>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</si>
  <si>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</si>
  <si>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</si>
  <si>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</si>
  <si>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</si>
  <si>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</si>
  <si>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</si>
  <si>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</si>
  <si>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</si>
  <si>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</si>
  <si>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</si>
  <si>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</si>
  <si>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</si>
  <si>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</si>
  <si>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</si>
  <si>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</si>
  <si>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</si>
  <si>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</si>
  <si>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</si>
  <si>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</si>
  <si>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</si>
  <si>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</si>
  <si>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</si>
  <si>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</si>
  <si>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</si>
  <si>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</si>
  <si>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</si>
  <si>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</si>
  <si>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</si>
  <si>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</si>
  <si>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</si>
  <si>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</si>
  <si>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</si>
  <si>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</si>
  <si>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</si>
  <si>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</si>
  <si>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</si>
  <si>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</si>
  <si>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</si>
  <si>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</si>
  <si>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</si>
  <si>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</si>
  <si>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</si>
  <si>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</si>
  <si>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</si>
  <si>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</si>
  <si>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</si>
  <si>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</si>
  <si>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</si>
  <si>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</si>
  <si>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</si>
  <si>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</si>
  <si>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</si>
  <si>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</si>
  <si>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</si>
  <si>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</si>
  <si>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</si>
  <si>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</si>
  <si>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</si>
  <si>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</si>
  <si>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</si>
  <si>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</si>
  <si>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</si>
  <si>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</si>
  <si>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</si>
  <si>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</si>
  <si>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</si>
  <si>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</si>
  <si>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</si>
  <si>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</si>
  <si>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</si>
  <si>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</si>
  <si>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</si>
  <si>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</si>
  <si>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</si>
  <si>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</si>
  <si>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</si>
  <si>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</si>
  <si>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</si>
  <si>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</si>
  <si>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</si>
  <si>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</si>
  <si>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</si>
  <si>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</si>
  <si>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</si>
  <si>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</si>
  <si>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</si>
  <si>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</si>
  <si>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</si>
  <si>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</si>
  <si>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</si>
  <si>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</si>
  <si>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</si>
  <si>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</si>
  <si>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</si>
  <si>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</si>
  <si>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</si>
  <si>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</si>
  <si>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</si>
  <si>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</si>
  <si>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</si>
  <si>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</si>
  <si>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</si>
  <si>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</si>
  <si>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</si>
  <si>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</si>
  <si>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</si>
  <si>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</si>
  <si>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</si>
  <si>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</si>
  <si>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</si>
  <si>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</si>
  <si>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</si>
  <si>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</si>
  <si>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</si>
  <si>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</si>
  <si>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</si>
  <si>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</si>
  <si>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</si>
  <si>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</si>
  <si>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</si>
  <si>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</si>
  <si>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</si>
  <si>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</si>
  <si>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</si>
  <si>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</si>
  <si>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</si>
  <si>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</si>
  <si>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</si>
  <si>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</si>
  <si>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</si>
  <si>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</si>
  <si>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</si>
  <si>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</si>
  <si>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</si>
  <si>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</si>
  <si>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</si>
  <si>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</si>
  <si>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</si>
  <si>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</si>
  <si>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</si>
  <si>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</si>
  <si>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</si>
  <si>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</si>
  <si>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</si>
  <si>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</si>
  <si>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</si>
  <si>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</si>
  <si>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</si>
  <si>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</si>
  <si>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</si>
  <si>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</si>
  <si>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</si>
  <si>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</si>
  <si>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</si>
  <si>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</si>
  <si>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</si>
  <si>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</si>
  <si>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</si>
  <si>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</si>
  <si>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</si>
  <si>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</si>
  <si>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</si>
  <si>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</si>
  <si>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</si>
  <si>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</si>
  <si>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</si>
  <si>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</si>
  <si>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</si>
  <si>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</si>
  <si>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</si>
  <si>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</si>
  <si>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</si>
  <si>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</si>
  <si>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</si>
  <si>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</si>
  <si>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</si>
  <si>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</si>
  <si>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</si>
  <si>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</si>
  <si>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</si>
  <si>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</si>
  <si>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</si>
  <si>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</si>
  <si>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</si>
  <si>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</si>
  <si>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</si>
  <si>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</si>
  <si>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</si>
  <si>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</si>
  <si>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</si>
  <si>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</si>
  <si>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</si>
  <si>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</si>
  <si>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</si>
  <si>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</si>
  <si>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</si>
  <si>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</si>
  <si>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</si>
  <si>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</si>
  <si>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</si>
  <si>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</si>
  <si>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</si>
  <si>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</si>
  <si>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</si>
  <si>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</si>
  <si>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</si>
  <si>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</si>
  <si>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</si>
  <si>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</si>
  <si>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</si>
  <si>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</si>
  <si>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</si>
  <si>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</si>
  <si>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</si>
  <si>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</si>
  <si>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</si>
  <si>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</si>
  <si>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</si>
  <si>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</si>
  <si>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</si>
  <si>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</si>
  <si>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</si>
  <si>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</si>
  <si>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</si>
  <si>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</si>
  <si>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</si>
  <si>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</si>
  <si>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</si>
  <si>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</si>
  <si>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</si>
  <si>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</si>
  <si>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</si>
  <si>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</si>
  <si>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</si>
  <si>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</si>
  <si>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</si>
  <si>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</si>
  <si>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</si>
  <si>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</si>
  <si>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</si>
  <si>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</si>
  <si>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</si>
  <si>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</si>
  <si>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</si>
  <si>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</si>
  <si>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</si>
  <si>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</si>
  <si>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</si>
  <si>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</si>
  <si>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</si>
  <si>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</si>
  <si>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</si>
  <si>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</si>
  <si>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</si>
  <si>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</si>
  <si>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</si>
  <si>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</si>
  <si>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</si>
  <si>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</si>
  <si>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</si>
  <si>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</si>
  <si>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</si>
  <si>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</si>
  <si>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</si>
  <si>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</si>
  <si>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</si>
  <si>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</si>
  <si>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</si>
  <si>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</si>
  <si>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</si>
  <si>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</si>
  <si>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</si>
  <si>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</si>
  <si>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</si>
  <si>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</si>
  <si>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</si>
  <si>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</si>
  <si>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</si>
  <si>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</si>
  <si>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</si>
  <si>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</si>
  <si>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</si>
  <si>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</si>
  <si>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</si>
  <si>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</si>
  <si>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</si>
  <si>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</si>
  <si>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</si>
  <si>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</si>
  <si>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</si>
  <si>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</si>
  <si>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</si>
  <si>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</si>
  <si>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</si>
  <si>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</si>
  <si>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</si>
  <si>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</si>
  <si>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</si>
  <si>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</si>
  <si>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</si>
  <si>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</si>
  <si>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</si>
  <si>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</si>
  <si>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</si>
  <si>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</si>
  <si>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</si>
  <si>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</si>
  <si>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</si>
  <si>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</si>
  <si>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</si>
  <si>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</si>
  <si>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</si>
  <si>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</si>
  <si>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</si>
  <si>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</si>
  <si>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</si>
  <si>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</si>
  <si>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</si>
  <si>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</si>
  <si>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</si>
  <si>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</si>
  <si>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</si>
  <si>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</si>
  <si>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</si>
  <si>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</si>
  <si>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</si>
  <si>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</si>
  <si>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</si>
  <si>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</si>
  <si>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</si>
  <si>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</si>
  <si>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</si>
  <si>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</si>
  <si>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</si>
  <si>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</si>
  <si>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</si>
  <si>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</si>
  <si>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</si>
  <si>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</si>
  <si>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</si>
  <si>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</si>
  <si>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</si>
  <si>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</si>
  <si>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</si>
  <si>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</si>
  <si>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</si>
  <si>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</si>
  <si>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</si>
  <si>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</si>
  <si>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</si>
  <si>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</si>
  <si>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</si>
  <si>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</si>
  <si>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</si>
  <si>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</si>
  <si>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</si>
  <si>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</si>
  <si>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</si>
  <si>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</si>
  <si>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</si>
  <si>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</si>
  <si>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</si>
  <si>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</si>
  <si>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</si>
  <si>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</si>
  <si>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</si>
  <si>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</si>
  <si>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</si>
  <si>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</si>
  <si>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</si>
  <si>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</si>
  <si>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</si>
  <si>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</si>
  <si>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</si>
  <si>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</si>
  <si>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</si>
  <si>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</si>
  <si>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</si>
  <si>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</si>
  <si>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</si>
  <si>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</si>
  <si>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</si>
  <si>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</si>
  <si>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</si>
  <si>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</si>
  <si>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</si>
  <si>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</si>
  <si>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</si>
  <si>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</si>
  <si>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</si>
  <si>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</si>
  <si>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</si>
  <si>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</si>
  <si>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</si>
  <si>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</si>
  <si>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</si>
  <si>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</si>
  <si>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</si>
  <si>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</si>
  <si>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</si>
  <si>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</si>
  <si>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</si>
  <si>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</si>
  <si>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</si>
  <si>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</si>
  <si>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</si>
  <si>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</si>
  <si>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</si>
  <si>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</si>
  <si>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</si>
  <si>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</si>
  <si>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</si>
  <si>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</si>
  <si>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</si>
  <si>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</si>
  <si>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</si>
  <si>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</si>
  <si>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</si>
  <si>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</si>
  <si>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</si>
  <si>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</si>
  <si>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</si>
  <si>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</si>
  <si>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</si>
  <si>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</si>
  <si>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</si>
  <si>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</si>
  <si>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</si>
  <si>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</si>
  <si>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</si>
  <si>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</si>
  <si>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</si>
  <si>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</si>
  <si>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</si>
  <si>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</si>
  <si>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</si>
  <si>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</si>
  <si>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</si>
  <si>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</si>
  <si>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</si>
  <si>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</si>
  <si>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</si>
  <si>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</si>
  <si>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</si>
  <si>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</si>
  <si>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</si>
  <si>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</si>
  <si>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</si>
  <si>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</si>
  <si>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</si>
  <si>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</si>
  <si>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</si>
  <si>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</si>
  <si>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</si>
  <si>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</si>
  <si>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</si>
  <si>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</si>
  <si>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</si>
  <si>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</si>
  <si>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</si>
  <si>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</si>
  <si>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</si>
  <si>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</si>
  <si>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</si>
  <si>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</si>
  <si>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</si>
  <si>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</si>
  <si>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</si>
  <si>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</si>
  <si>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</si>
  <si>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</si>
  <si>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</si>
  <si>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</si>
  <si>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</si>
  <si>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</si>
  <si>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</si>
  <si>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</si>
  <si>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</si>
  <si>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</si>
  <si>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</si>
  <si>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</si>
  <si>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</si>
  <si>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</si>
  <si>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</si>
  <si>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</si>
  <si>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</si>
  <si>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</si>
  <si>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</si>
  <si>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</si>
  <si>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</si>
  <si>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</si>
  <si>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</si>
  <si>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</si>
  <si>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</si>
  <si>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</si>
  <si>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</si>
  <si>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</si>
  <si>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</si>
  <si>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</si>
  <si>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</si>
  <si>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</si>
  <si>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</si>
  <si>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</si>
  <si>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</si>
  <si>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</si>
  <si>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</si>
  <si>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</si>
  <si>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</si>
  <si>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</si>
  <si>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</si>
  <si>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</si>
  <si>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</si>
  <si>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</si>
  <si>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</si>
  <si>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</si>
  <si>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</si>
  <si>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</si>
  <si>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</si>
  <si>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</si>
  <si>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</si>
  <si>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</si>
  <si>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</si>
  <si>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</si>
  <si>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</si>
  <si>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</si>
  <si>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</si>
  <si>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</si>
  <si>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</si>
  <si>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</si>
  <si>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</si>
  <si>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</si>
  <si>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</si>
  <si>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</si>
  <si>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</si>
  <si>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</si>
  <si>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</si>
  <si>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</si>
  <si>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</si>
  <si>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</si>
  <si>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</si>
  <si>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</si>
  <si>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</si>
  <si>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</si>
  <si>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</si>
  <si>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</si>
  <si>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</si>
  <si>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</si>
  <si>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</si>
  <si>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</si>
  <si>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</si>
  <si>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</si>
  <si>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</si>
  <si>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</si>
  <si>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</si>
  <si>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</si>
  <si>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</si>
  <si>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</si>
  <si>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</si>
  <si>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</si>
  <si>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</si>
  <si>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</si>
  <si>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</si>
  <si>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</si>
  <si>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</si>
  <si>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</si>
  <si>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</si>
  <si>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</si>
  <si>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</si>
  <si>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</si>
  <si>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</si>
  <si>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</si>
  <si>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</si>
  <si>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</si>
  <si>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</si>
  <si>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</si>
  <si>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</si>
  <si>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</si>
  <si>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</si>
  <si>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</si>
  <si>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</si>
  <si>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</si>
  <si>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</si>
  <si>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</si>
  <si>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</si>
  <si>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</si>
  <si>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</si>
  <si>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</si>
  <si>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</si>
  <si>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</si>
  <si>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</si>
  <si>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</si>
  <si>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</si>
  <si>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</si>
  <si>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</si>
  <si>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</si>
  <si>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</si>
  <si>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</si>
  <si>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</si>
  <si>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</si>
  <si>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</si>
  <si>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</si>
  <si>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</si>
  <si>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</si>
  <si>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</si>
  <si>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</si>
  <si>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</si>
  <si>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</si>
  <si>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</si>
  <si>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</si>
  <si>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</si>
  <si>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</si>
  <si>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</si>
  <si>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</si>
  <si>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</si>
  <si>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</si>
  <si>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</si>
  <si>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</si>
  <si>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</si>
  <si>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</si>
  <si>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</si>
  <si>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</si>
  <si>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</si>
  <si>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</si>
  <si>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</si>
  <si>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</si>
  <si>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</si>
  <si>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</si>
  <si>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</si>
  <si>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</si>
  <si>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</si>
  <si>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</si>
  <si>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</si>
  <si>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</si>
  <si>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</si>
  <si>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</si>
  <si>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</si>
  <si>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</si>
  <si>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</si>
  <si>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</si>
  <si>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</si>
  <si>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</si>
  <si>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</si>
  <si>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</si>
  <si>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</si>
  <si>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</si>
  <si>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</si>
  <si>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</si>
  <si>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</si>
  <si>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</si>
  <si>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</si>
  <si>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</si>
  <si>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</si>
  <si>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</si>
  <si>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</si>
  <si>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</si>
  <si>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</si>
  <si>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</si>
  <si>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</si>
  <si>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</si>
  <si>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</si>
  <si>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</si>
  <si>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</si>
  <si>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</si>
  <si>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</si>
  <si>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</si>
  <si>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</si>
  <si>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</si>
  <si>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</si>
  <si>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</si>
  <si>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</si>
  <si>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</si>
  <si>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</si>
  <si>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</si>
  <si>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</si>
  <si>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</si>
  <si>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</si>
  <si>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</si>
  <si>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</si>
  <si>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</si>
  <si>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</si>
  <si>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</si>
  <si>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</si>
  <si>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</si>
  <si>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</si>
  <si>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</si>
  <si>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</si>
  <si>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</si>
  <si>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</si>
  <si>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</si>
  <si>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</si>
  <si>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</si>
  <si>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</si>
  <si>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</si>
  <si>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</si>
  <si>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</si>
  <si>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</si>
  <si>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</si>
  <si>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</si>
  <si>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</si>
  <si>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</si>
  <si>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</si>
  <si>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</si>
  <si>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</si>
  <si>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</si>
  <si>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</si>
  <si>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</si>
  <si>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</si>
  <si>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</si>
  <si>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</si>
  <si>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</si>
  <si>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</si>
  <si>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</si>
  <si>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</si>
  <si>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</si>
  <si>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</si>
  <si>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</si>
  <si>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</si>
  <si>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</si>
  <si>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</si>
  <si>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</si>
  <si>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</si>
  <si>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</si>
  <si>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</si>
  <si>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</si>
  <si>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</si>
  <si>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</si>
  <si>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</si>
  <si>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</si>
  <si>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</si>
  <si>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</si>
  <si>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</si>
  <si>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</si>
  <si>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</si>
  <si>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</si>
  <si>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</si>
  <si>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</si>
  <si>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</si>
  <si>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</si>
  <si>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</si>
  <si>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</si>
  <si>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</si>
  <si>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</si>
  <si>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</si>
  <si>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</si>
  <si>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</si>
  <si>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</si>
  <si>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</si>
  <si>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</si>
  <si>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</si>
  <si>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</si>
  <si>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</si>
  <si>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</si>
  <si>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</si>
  <si>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</si>
  <si>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</si>
  <si>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</si>
  <si>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</si>
  <si>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</si>
  <si>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</si>
  <si>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</si>
  <si>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</si>
  <si>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</si>
  <si>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</si>
  <si>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</si>
  <si>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</si>
  <si>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</si>
  <si>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</si>
  <si>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</si>
  <si>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</si>
  <si>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</si>
  <si>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</si>
  <si>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</si>
  <si>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</si>
  <si>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</si>
  <si>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</si>
  <si>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</si>
  <si>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</si>
  <si>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</si>
  <si>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</si>
  <si>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</si>
  <si>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</si>
  <si>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</si>
  <si>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</si>
  <si>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</si>
  <si>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</si>
  <si>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</si>
  <si>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</si>
  <si>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</si>
  <si>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</si>
  <si>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</si>
  <si>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</si>
  <si>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</si>
  <si>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</si>
  <si>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</si>
  <si>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</si>
  <si>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</si>
  <si>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</si>
  <si>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</si>
  <si>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</si>
  <si>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</si>
  <si>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</si>
  <si>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</si>
  <si>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</si>
  <si>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</si>
  <si>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</si>
  <si>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</si>
  <si>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</si>
  <si>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</si>
  <si>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</si>
  <si>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</si>
  <si>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</si>
  <si>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</si>
  <si>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</si>
  <si>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</si>
  <si>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</si>
  <si>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</si>
  <si>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</si>
  <si>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</si>
  <si>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</si>
  <si>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</si>
  <si>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</si>
  <si>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</si>
  <si>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</si>
  <si>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</si>
  <si>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</si>
  <si>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</si>
  <si>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</si>
  <si>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</si>
  <si>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</si>
  <si>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</si>
  <si>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</si>
  <si>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</si>
  <si>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</si>
  <si>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</si>
  <si>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</si>
  <si>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</si>
  <si>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</si>
  <si>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</si>
  <si>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</si>
  <si>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</si>
  <si>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</si>
  <si>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</si>
  <si>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</si>
  <si>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</si>
  <si>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</si>
  <si>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</si>
  <si>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</si>
  <si>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</si>
  <si>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</si>
  <si>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</si>
  <si>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</si>
  <si>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</si>
  <si>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</si>
  <si>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</si>
  <si>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</si>
  <si>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</si>
  <si>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</si>
  <si>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</si>
  <si>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</si>
  <si>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</si>
  <si>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</si>
  <si>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</si>
  <si>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</si>
  <si>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</si>
  <si>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</si>
  <si>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</si>
  <si>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</si>
  <si>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</si>
  <si>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</si>
  <si>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</si>
  <si>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</si>
  <si>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</si>
  <si>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</si>
  <si>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</si>
  <si>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</si>
  <si>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</si>
  <si>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</si>
  <si>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</si>
  <si>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</si>
  <si>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</si>
  <si>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</si>
  <si>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</si>
  <si>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</si>
  <si>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</si>
  <si>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</si>
  <si>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</si>
  <si>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</si>
  <si>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</si>
  <si>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</si>
  <si>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</si>
  <si>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</si>
  <si>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</si>
  <si>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</si>
  <si>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</si>
  <si>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</si>
  <si>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</si>
  <si>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</si>
  <si>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</si>
  <si>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</si>
  <si>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</si>
  <si>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</si>
  <si>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</si>
  <si>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</si>
  <si>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</si>
  <si>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</si>
  <si>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</si>
  <si>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</si>
  <si>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</si>
  <si>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</si>
  <si>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</si>
  <si>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</si>
  <si>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</si>
  <si>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</si>
  <si>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</si>
  <si>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</si>
  <si>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</si>
  <si>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</si>
  <si>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</si>
  <si>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</si>
  <si>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</si>
  <si>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</si>
  <si>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</si>
  <si>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</si>
  <si>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</si>
  <si>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</si>
  <si>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</si>
  <si>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</si>
  <si>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</si>
  <si>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</si>
  <si>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</si>
  <si>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</si>
  <si>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</si>
  <si>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</si>
  <si>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</si>
  <si>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</si>
  <si>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</si>
  <si>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</si>
  <si>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</si>
  <si>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</si>
  <si>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</si>
  <si>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</si>
  <si>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</si>
  <si>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</si>
  <si>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</si>
  <si>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</si>
  <si>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</si>
  <si>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</si>
  <si>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</si>
  <si>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</si>
  <si>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</si>
  <si>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</si>
  <si>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</si>
  <si>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</si>
  <si>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</si>
  <si>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</si>
  <si>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</si>
  <si>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</si>
  <si>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</si>
  <si>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</si>
  <si>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</si>
  <si>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</si>
  <si>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</si>
  <si>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</si>
  <si>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</si>
  <si>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</si>
  <si>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</si>
  <si>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</si>
  <si>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</si>
  <si>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</si>
  <si>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</si>
  <si>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</si>
  <si>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</si>
  <si>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</si>
  <si>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</si>
  <si>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</si>
  <si>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</si>
  <si>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</si>
  <si>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</si>
  <si>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</si>
  <si>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</si>
  <si>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</si>
  <si>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</si>
  <si>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</si>
  <si>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</si>
  <si>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</si>
  <si>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</si>
  <si>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</si>
  <si>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</si>
  <si>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</si>
  <si>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</si>
  <si>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</si>
  <si>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</si>
  <si>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</si>
  <si>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</si>
  <si>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</si>
  <si>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</si>
  <si>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</si>
  <si>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</si>
  <si>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</si>
  <si>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</si>
  <si>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</si>
  <si>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</si>
  <si>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</si>
  <si>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</si>
  <si>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</si>
  <si>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</si>
  <si>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</si>
  <si>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</si>
  <si>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</si>
  <si>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</si>
  <si>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</si>
  <si>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</si>
  <si>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</si>
  <si>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</si>
  <si>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</si>
  <si>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</si>
  <si>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</si>
  <si>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</si>
  <si>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</si>
  <si>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</si>
  <si>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</si>
  <si>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</si>
  <si>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</si>
  <si>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</si>
  <si>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</si>
  <si>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</si>
  <si>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</si>
  <si>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</si>
  <si>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</si>
  <si>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</si>
  <si>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</si>
  <si>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</si>
  <si>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</si>
  <si>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</si>
  <si>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</si>
  <si>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</si>
  <si>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</si>
  <si>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</si>
  <si>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</si>
  <si>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</si>
  <si>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</si>
  <si>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</si>
  <si>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</si>
  <si>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</si>
  <si>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</si>
  <si>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</si>
  <si>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</si>
  <si>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</si>
  <si>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</si>
  <si>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</si>
  <si>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</si>
  <si>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</si>
  <si>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</si>
  <si>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</si>
  <si>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</si>
  <si>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</si>
  <si>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</si>
  <si>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</si>
  <si>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</si>
  <si>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</si>
  <si>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</si>
  <si>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</si>
  <si>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</si>
  <si>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</si>
  <si>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</si>
  <si>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</si>
  <si>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</si>
  <si>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</si>
  <si>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</si>
  <si>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</si>
  <si>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</si>
  <si>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</si>
  <si>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</si>
  <si>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</si>
  <si>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</si>
  <si>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</si>
  <si>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</si>
  <si>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</si>
  <si>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</si>
  <si>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</si>
  <si>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</si>
  <si>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</si>
  <si>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</si>
  <si>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</si>
  <si>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</si>
  <si>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</si>
  <si>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</si>
  <si>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</si>
  <si>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</si>
  <si>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</si>
  <si>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</si>
  <si>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</si>
  <si>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</si>
  <si>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</si>
  <si>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</si>
  <si>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</si>
  <si>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</si>
  <si>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</si>
  <si>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</si>
  <si>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</si>
  <si>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</si>
  <si>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</si>
  <si>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</si>
  <si>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</si>
  <si>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</si>
  <si>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</si>
  <si>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</si>
  <si>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</si>
  <si>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</si>
  <si>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</si>
  <si>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</si>
  <si>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</si>
  <si>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</si>
  <si>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</si>
  <si>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</si>
  <si>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</si>
  <si>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</si>
  <si>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</si>
  <si>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</si>
  <si>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</si>
  <si>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</si>
  <si>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</si>
  <si>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</si>
  <si>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</si>
  <si>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</si>
  <si>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</si>
  <si>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</si>
  <si>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</si>
  <si>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</si>
  <si>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</si>
  <si>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</si>
  <si>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</si>
  <si>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</si>
  <si>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</si>
  <si>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</si>
  <si>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</si>
  <si>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</si>
  <si>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</si>
  <si>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</si>
  <si>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</si>
  <si>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</si>
  <si>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</si>
  <si>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</si>
  <si>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</si>
  <si>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</si>
  <si>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</si>
  <si>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</si>
  <si>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</si>
  <si>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</si>
  <si>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</si>
  <si>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</si>
  <si>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</si>
  <si>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</si>
  <si>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</si>
  <si>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</si>
  <si>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</si>
  <si>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</si>
  <si>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</si>
  <si>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</si>
  <si>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</si>
  <si>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</si>
  <si>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</si>
  <si>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</si>
  <si>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</si>
  <si>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</si>
  <si>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</si>
  <si>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</si>
  <si>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</si>
  <si>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</si>
  <si>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</si>
  <si>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</si>
  <si>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</si>
  <si>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</si>
  <si>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</si>
  <si>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</si>
  <si>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</si>
  <si>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</si>
  <si>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</si>
  <si>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</si>
  <si>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</si>
  <si>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</si>
  <si>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</si>
  <si>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</si>
  <si>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</si>
  <si>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</si>
  <si>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</si>
  <si>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</si>
  <si>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</si>
  <si>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</si>
  <si>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</si>
  <si>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</si>
  <si>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</si>
  <si>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</si>
  <si>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</si>
  <si>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</si>
  <si>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</si>
  <si>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</si>
  <si>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</si>
  <si>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</si>
  <si>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</si>
  <si>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</si>
  <si>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</si>
  <si>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</si>
  <si>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</si>
  <si>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</si>
  <si>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</si>
  <si>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</si>
  <si>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</si>
  <si>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</si>
  <si>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</si>
  <si>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</si>
  <si>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</si>
  <si>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</si>
  <si>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</si>
  <si>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</si>
  <si>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</si>
  <si>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</si>
  <si>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</si>
  <si>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</si>
  <si>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</si>
  <si>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</si>
  <si>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</si>
  <si>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</si>
  <si>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</si>
  <si>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</si>
  <si>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</si>
  <si>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</si>
  <si>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</si>
  <si>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</si>
  <si>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</si>
  <si>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</si>
  <si>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</si>
  <si>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</si>
  <si>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</si>
  <si>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</si>
  <si>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</si>
  <si>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</si>
  <si>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</si>
  <si>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</si>
  <si>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</si>
  <si>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</si>
  <si>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</si>
  <si>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</si>
  <si>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</si>
  <si>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</si>
  <si>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</si>
  <si>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</si>
  <si>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</si>
  <si>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</si>
  <si>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</si>
  <si>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</si>
  <si>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</si>
  <si>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</si>
  <si>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</si>
  <si>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</si>
  <si>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</si>
  <si>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</si>
  <si>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</si>
  <si>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</si>
  <si>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</si>
  <si>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</si>
  <si>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</si>
  <si>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</si>
  <si>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</si>
  <si>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</si>
  <si>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</si>
  <si>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</si>
  <si>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</si>
  <si>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</si>
  <si>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</si>
  <si>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</si>
  <si>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</si>
  <si>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</si>
  <si>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</si>
  <si>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</si>
  <si>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</si>
  <si>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</si>
  <si>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</si>
  <si>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</si>
  <si>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</si>
  <si>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</si>
  <si>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</si>
  <si>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</si>
  <si>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</si>
  <si>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</si>
  <si>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</si>
  <si>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</si>
  <si>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</si>
  <si>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</si>
  <si>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</si>
  <si>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</si>
  <si>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</si>
  <si>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</si>
  <si>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</si>
  <si>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</si>
  <si>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</si>
  <si>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</si>
  <si>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</si>
  <si>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</si>
  <si>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</si>
  <si>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</si>
  <si>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</si>
  <si>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</si>
  <si>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</si>
  <si>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</si>
  <si>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</si>
  <si>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</si>
  <si>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</si>
  <si>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</si>
  <si>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</si>
  <si>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</si>
  <si>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</si>
  <si>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</si>
  <si>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</si>
  <si>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</si>
  <si>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</si>
  <si>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</si>
  <si>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</si>
  <si>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</si>
  <si>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</si>
  <si>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</si>
  <si>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</si>
  <si>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</si>
  <si>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</si>
  <si>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</si>
  <si>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</si>
  <si>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</si>
  <si>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</si>
  <si>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</si>
  <si>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</si>
  <si>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</si>
  <si>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</si>
  <si>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</si>
  <si>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</si>
  <si>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</si>
  <si>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</si>
  <si>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</si>
  <si>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</si>
  <si>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</si>
  <si>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</si>
  <si>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</si>
  <si>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</si>
  <si>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</si>
  <si>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</si>
  <si>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</si>
  <si>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</si>
  <si>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</si>
  <si>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</si>
  <si>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</si>
  <si>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</si>
  <si>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</si>
  <si>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</si>
  <si>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</si>
  <si>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</si>
  <si>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</si>
  <si>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</si>
  <si>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</si>
  <si>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</si>
  <si>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</si>
  <si>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</si>
  <si>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</si>
  <si>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</si>
  <si>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</si>
  <si>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</si>
  <si>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</si>
  <si>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</si>
  <si>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</si>
  <si>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</si>
  <si>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</si>
  <si>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</si>
  <si>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</si>
  <si>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</si>
  <si>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</si>
  <si>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</si>
  <si>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</si>
  <si>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</si>
  <si>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</si>
  <si>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</si>
  <si>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</si>
  <si>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</si>
  <si>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</si>
  <si>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</si>
  <si>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</si>
  <si>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</si>
  <si>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</si>
  <si>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</si>
  <si>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</si>
  <si>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</si>
  <si>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</si>
  <si>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</si>
  <si>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</si>
  <si>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</si>
  <si>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</si>
  <si>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</si>
  <si>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</si>
  <si>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</si>
  <si>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</si>
  <si>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</si>
  <si>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</si>
  <si>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</si>
  <si>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</si>
  <si>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</si>
  <si>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</si>
  <si>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</si>
  <si>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</si>
  <si>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</si>
  <si>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</si>
  <si>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</si>
  <si>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</si>
  <si>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</si>
  <si>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</si>
  <si>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</si>
  <si>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</si>
  <si>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</si>
  <si>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</si>
  <si>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</si>
  <si>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</si>
  <si>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</si>
  <si>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</si>
  <si>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</si>
  <si>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</si>
  <si>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</si>
  <si>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</si>
  <si>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</si>
  <si>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</si>
  <si>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</si>
  <si>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</si>
  <si>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</si>
  <si>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</si>
  <si>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</si>
  <si>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</si>
  <si>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</si>
  <si>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</si>
  <si>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</si>
  <si>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</si>
  <si>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</si>
  <si>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</si>
  <si>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</si>
  <si>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</si>
  <si>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</si>
  <si>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</si>
  <si>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</si>
  <si>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</si>
  <si>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</si>
  <si>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</si>
  <si>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</si>
  <si>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</si>
  <si>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</si>
  <si>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</si>
  <si>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</si>
  <si>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</si>
  <si>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</si>
  <si>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</si>
  <si>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</si>
  <si>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</si>
  <si>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</si>
  <si>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</si>
  <si>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</si>
  <si>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</si>
  <si>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</si>
  <si>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</si>
  <si>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</si>
  <si>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</si>
  <si>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</si>
  <si>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</si>
  <si>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</si>
  <si>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</si>
  <si>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</si>
  <si>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</si>
  <si>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</si>
  <si>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</si>
  <si>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</si>
  <si>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</si>
  <si>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</si>
  <si>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</si>
  <si>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</si>
  <si>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</si>
  <si>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</si>
  <si>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</si>
  <si>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</si>
  <si>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</si>
  <si>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</si>
  <si>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</si>
  <si>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</si>
  <si>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</si>
  <si>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</si>
  <si>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</si>
  <si>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</si>
  <si>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</si>
  <si>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</si>
  <si>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</si>
  <si>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</si>
  <si>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</si>
  <si>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</si>
  <si>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</si>
  <si>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</si>
  <si>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</si>
  <si>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</si>
  <si>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</si>
  <si>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</si>
  <si>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</si>
  <si>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</si>
  <si>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</si>
  <si>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</si>
  <si>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</si>
  <si>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</si>
  <si>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</si>
  <si>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</si>
  <si>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</si>
  <si>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</si>
  <si>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</si>
  <si>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</si>
  <si>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</si>
  <si>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</si>
  <si>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</si>
  <si>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</si>
  <si>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</si>
  <si>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</si>
  <si>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</si>
  <si>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</si>
  <si>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</si>
  <si>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</si>
  <si>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</si>
  <si>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</si>
  <si>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</si>
  <si>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</si>
  <si>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</si>
  <si>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</si>
  <si>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</si>
  <si>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</si>
  <si>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</si>
  <si>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</si>
  <si>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</si>
  <si>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</si>
  <si>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</si>
  <si>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</si>
  <si>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</si>
  <si>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</si>
  <si>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</si>
  <si>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</si>
  <si>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</si>
  <si>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</si>
  <si>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</si>
  <si>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</si>
  <si>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</si>
  <si>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</si>
  <si>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</si>
  <si>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</si>
  <si>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</si>
  <si>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</si>
  <si>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</si>
  <si>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</si>
  <si>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</si>
  <si>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</si>
  <si>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</si>
  <si>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</si>
  <si>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</si>
  <si>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</si>
  <si>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</si>
  <si>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</si>
  <si>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</si>
  <si>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</si>
  <si>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</si>
  <si>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</si>
  <si>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</si>
  <si>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</si>
  <si>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</si>
  <si>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</si>
  <si>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</si>
  <si>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</si>
  <si>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</si>
  <si>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</si>
  <si>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</si>
  <si>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</si>
  <si>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</si>
  <si>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</si>
  <si>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</si>
  <si>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</si>
  <si>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</si>
  <si>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</si>
  <si>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</si>
  <si>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</si>
  <si>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</si>
  <si>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</si>
  <si>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</si>
  <si>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</si>
  <si>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</si>
  <si>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</si>
  <si>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</si>
  <si>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</si>
  <si>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</si>
  <si>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</si>
  <si>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</si>
  <si>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</si>
  <si>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</si>
  <si>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</si>
  <si>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</si>
  <si>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</si>
  <si>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</si>
  <si>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</si>
  <si>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</si>
  <si>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</si>
  <si>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</si>
  <si>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</si>
  <si>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</si>
  <si>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</si>
  <si>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</si>
  <si>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</si>
  <si>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</si>
  <si>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</si>
  <si>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</si>
  <si>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</si>
  <si>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</si>
  <si>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</si>
  <si>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</si>
  <si>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</si>
  <si>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</si>
  <si>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</si>
  <si>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</si>
  <si>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</si>
  <si>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</si>
  <si>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</si>
  <si>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</si>
  <si>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</si>
  <si>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</si>
  <si>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</si>
  <si>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</si>
  <si>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</si>
  <si>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</si>
  <si>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</si>
  <si>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</si>
  <si>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</si>
  <si>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</si>
  <si>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</si>
  <si>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</si>
  <si>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</si>
  <si>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</si>
  <si>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</si>
  <si>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</si>
  <si>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</si>
  <si>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</si>
  <si>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</si>
  <si>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</si>
  <si>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</si>
  <si>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</si>
  <si>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</si>
  <si>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</si>
  <si>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</si>
  <si>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</si>
  <si>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</si>
  <si>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</si>
  <si>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</si>
  <si>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</si>
  <si>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</si>
  <si>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</si>
  <si>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</si>
  <si>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</si>
  <si>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</si>
  <si>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</si>
  <si>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</si>
  <si>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</si>
  <si>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</si>
  <si>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</si>
  <si>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</si>
  <si>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</si>
  <si>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</si>
  <si>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</si>
  <si>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</si>
  <si>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</si>
  <si>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</si>
  <si>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</si>
  <si>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</si>
  <si>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</si>
  <si>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</si>
  <si>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</si>
  <si>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</si>
  <si>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</si>
  <si>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</si>
  <si>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</si>
  <si>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</si>
  <si>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</si>
  <si>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</si>
  <si>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</si>
  <si>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</si>
  <si>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</si>
  <si>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</si>
  <si>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</si>
  <si>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</si>
  <si>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</si>
  <si>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</si>
  <si>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</si>
  <si>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</si>
  <si>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</si>
  <si>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</si>
  <si>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</si>
  <si>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</si>
  <si>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</si>
  <si>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</si>
  <si>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</si>
  <si>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</si>
  <si>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</si>
  <si>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</si>
  <si>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</si>
  <si>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</si>
  <si>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</si>
  <si>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</si>
  <si>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</si>
  <si>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</si>
  <si>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</si>
  <si>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</si>
  <si>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</si>
  <si>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</si>
  <si>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</si>
  <si>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</si>
  <si>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</si>
  <si>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</si>
  <si>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</si>
  <si>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</si>
  <si>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</si>
  <si>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</si>
  <si>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</si>
  <si>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</si>
  <si>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</si>
  <si>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</si>
  <si>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</si>
  <si>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</si>
  <si>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</si>
  <si>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</si>
  <si>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</si>
  <si>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</si>
  <si>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</si>
  <si>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</si>
  <si>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</si>
  <si>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</si>
  <si>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</si>
  <si>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</si>
  <si>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</si>
  <si>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</si>
  <si>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</si>
  <si>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</si>
  <si>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</si>
  <si>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</si>
  <si>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</si>
  <si>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</si>
  <si>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</si>
  <si>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</si>
  <si>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</si>
  <si>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</si>
  <si>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</si>
  <si>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</si>
  <si>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</si>
  <si>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</si>
  <si>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</si>
  <si>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</si>
  <si>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</si>
  <si>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</si>
  <si>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</si>
  <si>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</si>
  <si>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</si>
  <si>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</si>
  <si>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</si>
  <si>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</si>
  <si>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</si>
  <si>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</si>
  <si>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</si>
  <si>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</si>
  <si>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</si>
  <si>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</si>
  <si>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</si>
  <si>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</si>
  <si>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</si>
  <si>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</si>
  <si>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</si>
  <si>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</si>
  <si>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</si>
  <si>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</si>
  <si>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</si>
  <si>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</si>
  <si>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</si>
  <si>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</si>
  <si>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</si>
  <si>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</si>
  <si>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</si>
  <si>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</si>
  <si>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</si>
  <si>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</si>
  <si>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</si>
  <si>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</si>
  <si>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</si>
  <si>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</si>
  <si>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</si>
  <si>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</si>
  <si>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</si>
  <si>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</si>
  <si>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</si>
  <si>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</si>
  <si>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</si>
  <si>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</si>
  <si>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</si>
  <si>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</si>
  <si>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</si>
  <si>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</si>
  <si>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</si>
  <si>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</si>
  <si>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</si>
  <si>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</si>
  <si>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</si>
  <si>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</si>
  <si>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</si>
  <si>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</si>
  <si>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</si>
  <si>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</si>
  <si>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</si>
  <si>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</si>
  <si>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</si>
  <si>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</si>
  <si>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</si>
  <si>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</si>
  <si>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</si>
  <si>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</si>
  <si>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</si>
  <si>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</si>
  <si>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</si>
  <si>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</si>
  <si>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</si>
  <si>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</si>
  <si>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</si>
  <si>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</si>
  <si>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</si>
  <si>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</si>
  <si>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</si>
  <si>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</si>
  <si>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</si>
  <si>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</si>
  <si>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</si>
  <si>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</si>
  <si>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</si>
  <si>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</si>
  <si>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</si>
  <si>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</si>
  <si>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</si>
  <si>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</si>
  <si>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</si>
  <si>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</si>
  <si>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</si>
  <si>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</si>
  <si>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</si>
  <si>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</si>
  <si>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</si>
  <si>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</si>
  <si>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</si>
  <si>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</si>
  <si>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</si>
  <si>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</si>
  <si>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</si>
  <si>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</si>
  <si>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</si>
  <si>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</si>
  <si>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</si>
  <si>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</si>
  <si>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</si>
  <si>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</si>
  <si>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</si>
  <si>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</si>
  <si>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</si>
  <si>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</si>
  <si>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</si>
  <si>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</si>
  <si>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</si>
  <si>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</si>
  <si>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</si>
  <si>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</si>
  <si>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</si>
  <si>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</si>
  <si>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</si>
  <si>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</si>
  <si>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</si>
  <si>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</si>
  <si>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</si>
  <si>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</si>
  <si>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</si>
  <si>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</si>
  <si>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</si>
  <si>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</si>
  <si>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</si>
  <si>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</si>
  <si>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</si>
  <si>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</si>
  <si>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</si>
  <si>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</si>
  <si>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</si>
  <si>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</si>
  <si>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</si>
  <si>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</si>
  <si>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</si>
  <si>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</si>
  <si>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</si>
  <si>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</si>
  <si>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</si>
  <si>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</si>
  <si>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</si>
  <si>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</si>
  <si>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</si>
  <si>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</si>
  <si>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</si>
  <si>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</si>
  <si>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</si>
  <si>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</si>
  <si>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</si>
  <si>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</si>
  <si>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</si>
  <si>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</si>
  <si>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</si>
  <si>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</si>
  <si>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</si>
  <si>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</si>
  <si>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</si>
  <si>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</si>
  <si>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</si>
  <si>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</si>
  <si>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</si>
  <si>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</si>
  <si>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</si>
  <si>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</si>
  <si>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</si>
  <si>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</si>
  <si>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</si>
  <si>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</si>
  <si>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</si>
  <si>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</si>
  <si>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</si>
  <si>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</si>
  <si>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</si>
  <si>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</si>
  <si>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</si>
  <si>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</si>
  <si>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</si>
  <si>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</si>
  <si>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</si>
  <si>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</si>
  <si>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</si>
  <si>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</si>
  <si>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</si>
  <si>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</si>
  <si>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</si>
  <si>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</si>
  <si>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</si>
  <si>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</si>
  <si>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</si>
  <si>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</si>
  <si>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</si>
  <si>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</si>
  <si>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</si>
  <si>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</si>
  <si>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</si>
  <si>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</si>
  <si>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</si>
  <si>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</si>
  <si>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</si>
  <si>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</si>
  <si>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</si>
  <si>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</si>
  <si>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</si>
  <si>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</si>
  <si>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</si>
  <si>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</si>
  <si>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</si>
  <si>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</si>
  <si>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</si>
  <si>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</si>
  <si>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</si>
  <si>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</si>
  <si>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Rosenberger Hochfrequenztechnik GmbH &amp; Co. KG</t>
  </si>
  <si>
    <t>Hauptstrasse 1; 83413 Fridolfing</t>
  </si>
  <si>
    <t>Dennis Schymitzek</t>
  </si>
  <si>
    <t>conflictminerals@rosenberger.com</t>
  </si>
  <si>
    <t xml:space="preserve"> +49 8684 18 1111</t>
  </si>
  <si>
    <t>Product Compliance</t>
  </si>
  <si>
    <t>not added/used</t>
  </si>
  <si>
    <t>used as alloying element and for plating</t>
  </si>
  <si>
    <t>used for platings</t>
  </si>
  <si>
    <t>most of the suppliers reported "No" while some reported "Unknown" but without further reasoning</t>
  </si>
  <si>
    <t>Not only recycling material</t>
  </si>
  <si>
    <t>Not all suppliers responded to our supply chain survey and a few of the suppliers were not able to identify all smelters.</t>
  </si>
  <si>
    <t>Not all suppliers responded to our supply chain survey</t>
  </si>
  <si>
    <t>All information has been reported</t>
  </si>
  <si>
    <t>https://www.rosenberger.com/company/mission-statement/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</si>
</sst>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osenberger.com/company/mission-statement/"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headerFooter>
    <oddFooter>&amp;L_x000D_&amp;1#&amp;"Arial"&amp;8&amp;K000000                  intern | internal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7F07EA3-58F9-4F3B-BBDB-E02EDF3B55C4}"/>
    </customSheetView>
  </customSheetViews>
  <pageMargins left="0.7" right="0.7" top="0.75" bottom="0.75" header="0.3" footer="0.3"/>
  <pageSetup paperSize="9" orientation="portrait" r:id="rId2"/>
  <headerFooter>
    <oddFooter>&amp;L_x000D_&amp;1#&amp;"Arial"&amp;8&amp;K000000                  intern |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9A923FF-6845-4DF4-9F56-EB07A65F0443}"/>
    </customSheetView>
  </customSheetViews>
  <pageMargins left="0.7" right="0.7" top="0.75" bottom="0.75" header="0.3" footer="0.3"/>
  <pageSetup orientation="portrait"/>
  <headerFooter>
    <oddFooter>&amp;L_x000D_&amp;1#&amp;"Arial"&amp;8&amp;K000000                  intern |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&amp;L_x000D_&amp;1#&amp;"Arial"&amp;8&amp;K000000                  intern | internal&amp;C&amp;P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&amp;L_x000D_&amp;1#&amp;"Arial"&amp;8&amp;K000000                  intern | internal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15880</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15881</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15882</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15883</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15881</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15884</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15882</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15883</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46146</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t="s">
        <v>15885</v>
      </c>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t="s">
        <v>15886</v>
      </c>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35" t="s">
        <v>15887</v>
      </c>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t="s">
        <v>15885</v>
      </c>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t="s">
        <v>15885</v>
      </c>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t="s">
        <v>15886</v>
      </c>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35" t="s">
        <v>15887</v>
      </c>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t="s">
        <v>15885</v>
      </c>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475</v>
      </c>
      <c r="E39" s="328"/>
      <c r="F39" s="44"/>
      <c r="G39" s="335" t="s">
        <v>15888</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475</v>
      </c>
      <c r="E40" s="328"/>
      <c r="F40" s="44"/>
      <c r="G40" s="335" t="s">
        <v>15888</v>
      </c>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475</v>
      </c>
      <c r="E45" s="328"/>
      <c r="F45" s="44"/>
      <c r="G45" s="335" t="s">
        <v>15888</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475</v>
      </c>
      <c r="E46" s="328"/>
      <c r="F46" s="44"/>
      <c r="G46" s="335" t="s">
        <v>15888</v>
      </c>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t="s">
        <v>15889</v>
      </c>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35" t="s">
        <v>15889</v>
      </c>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2370</v>
      </c>
      <c r="E57" s="370"/>
      <c r="F57" s="44"/>
      <c r="G57" s="335" t="s">
        <v>15891</v>
      </c>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69" t="s">
        <v>2370</v>
      </c>
      <c r="E58" s="370"/>
      <c r="F58" s="44"/>
      <c r="G58" s="335" t="s">
        <v>15891</v>
      </c>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474</v>
      </c>
      <c r="E63" s="328"/>
      <c r="F63" s="44"/>
      <c r="G63" s="335" t="s">
        <v>15890</v>
      </c>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474</v>
      </c>
      <c r="E64" s="328"/>
      <c r="F64" s="44"/>
      <c r="G64" s="335" t="s">
        <v>15890</v>
      </c>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t="s">
        <v>15892</v>
      </c>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35" t="s">
        <v>15892</v>
      </c>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15893</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13456</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BC7A2402-5497-4A66-B978-927793AD70EB}"/>
  </hyperlinks>
  <pageMargins left="0.70866141732283505" right="0.70866141732283505" top="0.74803149606299202" bottom="0.74803149606299202" header="0.31496062992126" footer="0.31496062992126"/>
  <pageSetup scale="41" fitToHeight="0" orientation="portrait" r:id="rId4"/>
  <headerFooter>
    <oddFooter>&amp;L_x000D_&amp;1#&amp;"Arial"&amp;8&amp;K000000                  intern | internal</oddFooter>
  </headerFooter>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9" sqref="A9"/>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631</v>
      </c>
      <c r="B5" s="166" t="str">
        <f ca="1">IF(LEN(A5)=0,"",INDEX('Smelter Look-up'!$A:$A,MATCH($A5,'Smelter Look-up'!$E:$E,0)))</f>
        <v>Gold</v>
      </c>
      <c r="C5" s="170" t="str">
        <f ca="1">IF(LEN(A5)=0,"",INDEX('Smelter Look-up'!$C:$C,MATCH($A5,'Smelter Look-up'!$E:$E,0)))</f>
        <v>Agosi AG</v>
      </c>
      <c r="D5" s="213"/>
      <c r="E5" s="166" t="str">
        <f ca="1">IF(ISERROR($V5),"",OFFSET('Smelter Look-up'!$D$4,$V5-4,0)&amp;"")</f>
        <v>GERMANY</v>
      </c>
      <c r="F5" s="166" t="str">
        <f ca="1">IF(ISERROR($V5),"",OFFSET('Smelter Look-up'!$E$4,$V5-4,0))</f>
        <v>CID000035</v>
      </c>
      <c r="G5" s="166" t="str">
        <f ca="1">IF(C5=$X$4,IF(ISERROR($V5),"Enter smelter details","RMI"),IF(ISERROR($V5),"",OFFSET('Smelter Look-up'!$F$4,$V5-4,0)))</f>
        <v>RMI</v>
      </c>
      <c r="H5" s="167">
        <f ca="1">IF(ISERROR($V5),"",OFFSET('Smelter Look-up'!$G$4,$V5-4,0))</f>
        <v>0</v>
      </c>
      <c r="I5" s="168" t="str">
        <f ca="1">IF(ISERROR($V5),"",OFFSET('Smelter Look-up'!$H$4,$V5-4,0))</f>
        <v>Pforzheim</v>
      </c>
      <c r="J5" s="168" t="str">
        <f ca="1">IF(ISERROR($V5),"",OFFSET('Smelter Look-up'!$I$4,$V5-4,0))</f>
        <v>Baden-Württemberg</v>
      </c>
      <c r="K5" s="207"/>
      <c r="L5" s="207"/>
      <c r="M5" s="207"/>
      <c r="N5" s="207"/>
      <c r="O5" s="207"/>
      <c r="P5" s="169"/>
      <c r="Q5" s="208"/>
      <c r="R5" s="166" t="str">
        <f ca="1">IF(ISERROR($V5),"",OFFSET('Smelter Look-up'!$C$4,$V5-4,0)&amp;"")</f>
        <v>Agosi AG</v>
      </c>
      <c r="S5" s="165" t="str">
        <f ca="1">IF(B5="","",IF(ISERROR(MATCH($E5,CL,0)),"Unknown",INDIRECT("'C'!$A$"&amp;MATCH($E5,CL,0)+1)))</f>
        <v>DE</v>
      </c>
      <c r="T5" s="165" t="str">
        <f ca="1">IF(B5="","",IF(ISERROR(MATCH($J5,SorP!$B$1:$B$6261,0)),"",INDIRECT("'SorP'!$A$"&amp;MATCH($S5&amp;$J5,SorP!C:C,0))))</f>
        <v>DE-BW</v>
      </c>
      <c r="U5" s="185"/>
      <c r="V5" s="209">
        <f ca="1">IF(C5="",NA(),IF(OR(C5="Smelter not listed",C5="Smelter not yet identified"),MATCH($B5&amp;$D5,'Smelter Look-up'!$J:$J,0),MATCH($B5&amp;$C5,'Smelter Look-up'!$J:$J,0)))</f>
        <v>10</v>
      </c>
      <c r="X5" s="210">
        <f t="shared" ref="X5" ca="1" si="0">IF(AND(C5="Smelter not listed",OR(LEN(D5)=0,LEN(E5)=0)),1,0)</f>
        <v>0</v>
      </c>
      <c r="AB5" s="211" t="str">
        <f t="shared" ref="AB5" ca="1" si="1">B5&amp;C5</f>
        <v>GoldAgosi AG</v>
      </c>
    </row>
    <row r="6" spans="1:34" s="210" customFormat="1" ht="20.100000000000001" customHeight="1">
      <c r="A6" s="245" t="s">
        <v>634</v>
      </c>
      <c r="B6" s="166" t="str">
        <f ca="1">IF(LEN(A6)=0,"",INDEX('Smelter Look-up'!$A:$A,MATCH($A6,'Smelter Look-up'!$E:$E,0)))</f>
        <v>Gold</v>
      </c>
      <c r="C6" s="170" t="str">
        <f ca="1">IF(LEN(A6)=0,"",INDEX('Smelter Look-up'!$C:$C,MATCH($A6,'Smelter Look-up'!$E:$E,0)))</f>
        <v>Argor-Heraeus S.A.</v>
      </c>
      <c r="D6" s="213"/>
      <c r="E6" s="166" t="str">
        <f ca="1">IF(ISERROR($V6),"",OFFSET('Smelter Look-up'!$D$4,$V6-4,0)&amp;"")</f>
        <v>SWITZERLAND</v>
      </c>
      <c r="F6" s="166" t="str">
        <f ca="1">IF(ISERROR($V6),"",OFFSET('Smelter Look-up'!$E$4,$V6-4,0))</f>
        <v>CID000077</v>
      </c>
      <c r="G6" s="166" t="str">
        <f ca="1">IF(C6=$X$4,IF(ISERROR($V6),"Enter smelter details","RMI"),IF(ISERROR($V6),"",OFFSET('Smelter Look-up'!$F$4,$V6-4,0)))</f>
        <v>RMI</v>
      </c>
      <c r="H6" s="167">
        <f ca="1">IF(ISERROR($V6),"",OFFSET('Smelter Look-up'!$G$4,$V6-4,0))</f>
        <v>0</v>
      </c>
      <c r="I6" s="168" t="str">
        <f ca="1">IF(ISERROR($V6),"",OFFSET('Smelter Look-up'!$H$4,$V6-4,0))</f>
        <v>Mendrisio</v>
      </c>
      <c r="J6" s="168" t="str">
        <f ca="1">IF(ISERROR($V6),"",OFFSET('Smelter Look-up'!$I$4,$V6-4,0))</f>
        <v>Ticino</v>
      </c>
      <c r="K6" s="207"/>
      <c r="L6" s="207"/>
      <c r="M6" s="207"/>
      <c r="N6" s="207"/>
      <c r="O6" s="207"/>
      <c r="P6" s="169"/>
      <c r="Q6" s="208"/>
      <c r="R6" s="166" t="str">
        <f ca="1">IF(ISERROR($V6),"",OFFSET('Smelter Look-up'!$C$4,$V6-4,0)&amp;"")</f>
        <v>Argor-Heraeus S.A.</v>
      </c>
      <c r="S6" s="165" t="str">
        <f t="shared" ref="S6:S37" ca="1" si="2">IF(B6="","",IF(ISERROR(MATCH($E6,CL,0)),"Unknown",INDIRECT("'C'!$A$"&amp;MATCH($E6,CL,0)+1)))</f>
        <v>CH</v>
      </c>
      <c r="T6" s="165" t="str">
        <f ca="1">IF(B6="","",IF(ISERROR(MATCH($J6,SorP!$B$1:$B$6261,0)),"",INDIRECT("'SorP'!$A$"&amp;MATCH($S6&amp;$J6,SorP!C:C,0))))</f>
        <v>CH-TI</v>
      </c>
      <c r="U6" s="185"/>
      <c r="V6" s="209">
        <f ca="1">IF(C6="",NA(),IF(OR(C6="Smelter not listed",C6="Smelter not yet identified"),MATCH($B6&amp;$D6,'Smelter Look-up'!$J:$J,0),MATCH($B6&amp;$C6,'Smelter Look-up'!$J:$J,0)))</f>
        <v>31</v>
      </c>
      <c r="X6" s="210">
        <f t="shared" ref="X6:X37" ca="1" si="3">IF(AND(C6="Smelter not listed",OR(LEN(D6)=0,LEN(E6)=0)),1,0)</f>
        <v>0</v>
      </c>
      <c r="AB6" s="211" t="str">
        <f t="shared" ref="AB6:AB37" ca="1" si="4">B6&amp;C6</f>
        <v>GoldArgor-Heraeus S.A.</v>
      </c>
    </row>
    <row r="7" spans="1:34" s="210" customFormat="1" ht="20.100000000000001" customHeight="1">
      <c r="A7" s="245" t="s">
        <v>635</v>
      </c>
      <c r="B7" s="166" t="str">
        <f ca="1">IF(LEN(A7)=0,"",INDEX('Smelter Look-up'!$A:$A,MATCH($A7,'Smelter Look-up'!$E:$E,0)))</f>
        <v>Gold</v>
      </c>
      <c r="C7" s="170" t="str">
        <f ca="1">IF(LEN(A7)=0,"",INDEX('Smelter Look-up'!$C:$C,MATCH($A7,'Smelter Look-up'!$E:$E,0)))</f>
        <v>ASAHI METALFINE, Inc.</v>
      </c>
      <c r="D7" s="213"/>
      <c r="E7" s="166" t="str">
        <f ca="1">IF(ISERROR($V7),"",OFFSET('Smelter Look-up'!$D$4,$V7-4,0)&amp;"")</f>
        <v>JAPAN</v>
      </c>
      <c r="F7" s="166" t="str">
        <f ca="1">IF(ISERROR($V7),"",OFFSET('Smelter Look-up'!$E$4,$V7-4,0))</f>
        <v>CID000082</v>
      </c>
      <c r="G7" s="166" t="str">
        <f ca="1">IF(C7=$X$4,IF(ISERROR($V7),"Enter smelter details","RMI"),IF(ISERROR($V7),"",OFFSET('Smelter Look-up'!$F$4,$V7-4,0)))</f>
        <v>RMI</v>
      </c>
      <c r="H7" s="167">
        <f ca="1">IF(ISERROR($V7),"",OFFSET('Smelter Look-up'!$G$4,$V7-4,0))</f>
        <v>0</v>
      </c>
      <c r="I7" s="168" t="str">
        <f ca="1">IF(ISERROR($V7),"",OFFSET('Smelter Look-up'!$H$4,$V7-4,0))</f>
        <v>Bando</v>
      </c>
      <c r="J7" s="168" t="str">
        <f ca="1">IF(ISERROR($V7),"",OFFSET('Smelter Look-up'!$I$4,$V7-4,0))</f>
        <v>Ibaraki</v>
      </c>
      <c r="K7" s="207"/>
      <c r="L7" s="207"/>
      <c r="M7" s="207"/>
      <c r="N7" s="207"/>
      <c r="O7" s="207"/>
      <c r="P7" s="169"/>
      <c r="Q7" s="208"/>
      <c r="R7" s="166" t="str">
        <f ca="1">IF(ISERROR($V7),"",OFFSET('Smelter Look-up'!$C$4,$V7-4,0)&amp;"")</f>
        <v>ASAHI METALFINE, Inc.</v>
      </c>
      <c r="S7" s="165" t="str">
        <f t="shared" ca="1" si="2"/>
        <v>JP</v>
      </c>
      <c r="T7" s="165" t="str">
        <f ca="1">IF(B7="","",IF(ISERROR(MATCH($J7,SorP!$B$1:$B$6261,0)),"",INDIRECT("'SorP'!$A$"&amp;MATCH($S7&amp;$J7,SorP!C:C,0))))</f>
        <v>JP-08</v>
      </c>
      <c r="U7" s="185"/>
      <c r="V7" s="209">
        <f ca="1">IF(C7="",NA(),IF(OR(C7="Smelter not listed",C7="Smelter not yet identified"),MATCH($B7&amp;$D7,'Smelter Look-up'!$J:$J,0),MATCH($B7&amp;$C7,'Smelter Look-up'!$J:$J,0)))</f>
        <v>32</v>
      </c>
      <c r="X7" s="210">
        <f t="shared" ca="1" si="3"/>
        <v>0</v>
      </c>
      <c r="AB7" s="211" t="str">
        <f t="shared" ca="1" si="4"/>
        <v>GoldASAHI METALFINE, Inc.</v>
      </c>
    </row>
    <row r="8" spans="1:34" s="210" customFormat="1" ht="20.100000000000001" customHeight="1">
      <c r="A8" s="245" t="s">
        <v>637</v>
      </c>
      <c r="B8" s="166" t="str">
        <f ca="1">IF(LEN(A8)=0,"",INDEX('Smelter Look-up'!$A:$A,MATCH($A8,'Smelter Look-up'!$E:$E,0)))</f>
        <v>Gold</v>
      </c>
      <c r="C8" s="170" t="str">
        <f ca="1">IF(LEN(A8)=0,"",INDEX('Smelter Look-up'!$C:$C,MATCH($A8,'Smelter Look-up'!$E:$E,0)))</f>
        <v>Aurubis AG, Hamburg</v>
      </c>
      <c r="D8" s="213"/>
      <c r="E8" s="166" t="str">
        <f ca="1">IF(ISERROR($V8),"",OFFSET('Smelter Look-up'!$D$4,$V8-4,0)&amp;"")</f>
        <v>GERMANY</v>
      </c>
      <c r="F8" s="166" t="str">
        <f ca="1">IF(ISERROR($V8),"",OFFSET('Smelter Look-up'!$E$4,$V8-4,0))</f>
        <v>CID000113</v>
      </c>
      <c r="G8" s="166" t="str">
        <f ca="1">IF(C8=$X$4,IF(ISERROR($V8),"Enter smelter details","RMI"),IF(ISERROR($V8),"",OFFSET('Smelter Look-up'!$F$4,$V8-4,0)))</f>
        <v>RMI</v>
      </c>
      <c r="H8" s="167">
        <f ca="1">IF(ISERROR($V8),"",OFFSET('Smelter Look-up'!$G$4,$V8-4,0))</f>
        <v>0</v>
      </c>
      <c r="I8" s="168" t="str">
        <f ca="1">IF(ISERROR($V8),"",OFFSET('Smelter Look-up'!$H$4,$V8-4,0))</f>
        <v>Hamburg</v>
      </c>
      <c r="J8" s="168" t="str">
        <f ca="1">IF(ISERROR($V8),"",OFFSET('Smelter Look-up'!$I$4,$V8-4,0))</f>
        <v>Hamburg</v>
      </c>
      <c r="K8" s="207"/>
      <c r="L8" s="207"/>
      <c r="M8" s="207"/>
      <c r="N8" s="207"/>
      <c r="O8" s="207"/>
      <c r="P8" s="169"/>
      <c r="Q8" s="208"/>
      <c r="R8" s="166" t="str">
        <f ca="1">IF(ISERROR($V8),"",OFFSET('Smelter Look-up'!$C$4,$V8-4,0)&amp;"")</f>
        <v>Aurubis AG, Hamburg</v>
      </c>
      <c r="S8" s="165" t="str">
        <f t="shared" ca="1" si="2"/>
        <v>DE</v>
      </c>
      <c r="T8" s="165" t="str">
        <f ca="1">IF(B8="","",IF(ISERROR(MATCH($J8,SorP!$B$1:$B$6261,0)),"",INDIRECT("'SorP'!$A$"&amp;MATCH($S8&amp;$J8,SorP!C:C,0))))</f>
        <v>DE-HH</v>
      </c>
      <c r="U8" s="185"/>
      <c r="V8" s="209">
        <f ca="1">IF(C8="",NA(),IF(OR(C8="Smelter not listed",C8="Smelter not yet identified"),MATCH($B8&amp;$D8,'Smelter Look-up'!$J:$J,0),MATCH($B8&amp;$C8,'Smelter Look-up'!$J:$J,0)))</f>
        <v>44</v>
      </c>
      <c r="X8" s="210">
        <f t="shared" ca="1" si="3"/>
        <v>0</v>
      </c>
      <c r="AB8" s="211" t="str">
        <f t="shared" ca="1" si="4"/>
        <v>GoldAurubis AG, Hamburg</v>
      </c>
    </row>
    <row r="9" spans="1:34" s="210" customFormat="1" ht="20.100000000000001" customHeight="1">
      <c r="A9" s="245" t="s">
        <v>641</v>
      </c>
      <c r="B9" s="166" t="str">
        <f ca="1">IF(LEN(A9)=0,"",INDEX('Smelter Look-up'!$A:$A,MATCH($A9,'Smelter Look-up'!$E:$E,0)))</f>
        <v>Gold</v>
      </c>
      <c r="C9" s="170" t="str">
        <f ca="1">IF(LEN(A9)=0,"",INDEX('Smelter Look-up'!$C:$C,MATCH($A9,'Smelter Look-up'!$E:$E,0)))</f>
        <v>C. Hafner GmbH + Co. KG</v>
      </c>
      <c r="D9" s="213"/>
      <c r="E9" s="166" t="str">
        <f ca="1">IF(ISERROR($V9),"",OFFSET('Smelter Look-up'!$D$4,$V9-4,0)&amp;"")</f>
        <v>GERMANY</v>
      </c>
      <c r="F9" s="166" t="str">
        <f ca="1">IF(ISERROR($V9),"",OFFSET('Smelter Look-up'!$E$4,$V9-4,0))</f>
        <v>CID000176</v>
      </c>
      <c r="G9" s="166" t="str">
        <f ca="1">IF(C9=$X$4,IF(ISERROR($V9),"Enter smelter details","RMI"),IF(ISERROR($V9),"",OFFSET('Smelter Look-up'!$F$4,$V9-4,0)))</f>
        <v>RMI</v>
      </c>
      <c r="H9" s="167">
        <f ca="1">IF(ISERROR($V9),"",OFFSET('Smelter Look-up'!$G$4,$V9-4,0))</f>
        <v>0</v>
      </c>
      <c r="I9" s="168" t="str">
        <f ca="1">IF(ISERROR($V9),"",OFFSET('Smelter Look-up'!$H$4,$V9-4,0))</f>
        <v>Wimsheim</v>
      </c>
      <c r="J9" s="168" t="str">
        <f ca="1">IF(ISERROR($V9),"",OFFSET('Smelter Look-up'!$I$4,$V9-4,0))</f>
        <v>Baden-Württemberg</v>
      </c>
      <c r="K9" s="207"/>
      <c r="L9" s="207"/>
      <c r="M9" s="207"/>
      <c r="N9" s="207"/>
      <c r="O9" s="207"/>
      <c r="P9" s="169"/>
      <c r="Q9" s="208"/>
      <c r="R9" s="166" t="str">
        <f ca="1">IF(ISERROR($V9),"",OFFSET('Smelter Look-up'!$C$4,$V9-4,0)&amp;"")</f>
        <v>C. Hafner GmbH + Co. KG</v>
      </c>
      <c r="S9" s="165" t="str">
        <f t="shared" ca="1" si="2"/>
        <v>DE</v>
      </c>
      <c r="T9" s="165" t="str">
        <f ca="1">IF(B9="","",IF(ISERROR(MATCH($J9,SorP!$B$1:$B$6261,0)),"",INDIRECT("'SorP'!$A$"&amp;MATCH($S9&amp;$J9,SorP!C:C,0))))</f>
        <v>DE-BW</v>
      </c>
      <c r="U9" s="185"/>
      <c r="V9" s="209">
        <f ca="1">IF(C9="",NA(),IF(OR(C9="Smelter not listed",C9="Smelter not yet identified"),MATCH($B9&amp;$D9,'Smelter Look-up'!$J:$J,0),MATCH($B9&amp;$C9,'Smelter Look-up'!$J:$J,0)))</f>
        <v>54</v>
      </c>
      <c r="X9" s="210">
        <f t="shared" ca="1" si="3"/>
        <v>0</v>
      </c>
      <c r="AB9" s="211" t="str">
        <f t="shared" ca="1" si="4"/>
        <v>GoldC. Hafner GmbH + Co. KG</v>
      </c>
    </row>
    <row r="10" spans="1:34" s="210" customFormat="1" ht="20.100000000000001" customHeight="1">
      <c r="A10" s="245" t="s">
        <v>643</v>
      </c>
      <c r="B10" s="166" t="str">
        <f ca="1">IF(LEN(A10)=0,"",INDEX('Smelter Look-up'!$A:$A,MATCH($A10,'Smelter Look-up'!$E:$E,0)))</f>
        <v>Gold</v>
      </c>
      <c r="C10" s="170" t="str">
        <f ca="1">IF(LEN(A10)=0,"",INDEX('Smelter Look-up'!$C:$C,MATCH($A10,'Smelter Look-up'!$E:$E,0)))</f>
        <v>Glencore Canada Corporation - CCR Refinery</v>
      </c>
      <c r="D10" s="213"/>
      <c r="E10" s="166" t="str">
        <f ca="1">IF(ISERROR($V10),"",OFFSET('Smelter Look-up'!$D$4,$V10-4,0)&amp;"")</f>
        <v>CANADA</v>
      </c>
      <c r="F10" s="166" t="str">
        <f ca="1">IF(ISERROR($V10),"",OFFSET('Smelter Look-up'!$E$4,$V10-4,0))</f>
        <v>CID000185</v>
      </c>
      <c r="G10" s="166" t="str">
        <f ca="1">IF(C10=$X$4,IF(ISERROR($V10),"Enter smelter details","RMI"),IF(ISERROR($V10),"",OFFSET('Smelter Look-up'!$F$4,$V10-4,0)))</f>
        <v>RMI</v>
      </c>
      <c r="H10" s="167">
        <f ca="1">IF(ISERROR($V10),"",OFFSET('Smelter Look-up'!$G$4,$V10-4,0))</f>
        <v>0</v>
      </c>
      <c r="I10" s="168" t="str">
        <f ca="1">IF(ISERROR($V10),"",OFFSET('Smelter Look-up'!$H$4,$V10-4,0))</f>
        <v>Montréal</v>
      </c>
      <c r="J10" s="168" t="str">
        <f ca="1">IF(ISERROR($V10),"",OFFSET('Smelter Look-up'!$I$4,$V10-4,0))</f>
        <v>Quebec</v>
      </c>
      <c r="K10" s="207"/>
      <c r="L10" s="207"/>
      <c r="M10" s="207"/>
      <c r="N10" s="207"/>
      <c r="O10" s="207"/>
      <c r="P10" s="169"/>
      <c r="Q10" s="208"/>
      <c r="R10" s="166" t="str">
        <f ca="1">IF(ISERROR($V10),"",OFFSET('Smelter Look-up'!$C$4,$V10-4,0)&amp;"")</f>
        <v>Glencore Canada Corporation - CCR Refinery</v>
      </c>
      <c r="S10" s="165" t="str">
        <f t="shared" ca="1" si="2"/>
        <v>CA</v>
      </c>
      <c r="T10" s="165" t="str">
        <f ca="1">IF(B10="","",IF(ISERROR(MATCH($J10,SorP!$B$1:$B$6261,0)),"",INDIRECT("'SorP'!$A$"&amp;MATCH($S10&amp;$J10,SorP!C:C,0))))</f>
        <v>CA-QC</v>
      </c>
      <c r="U10" s="185"/>
      <c r="V10" s="209">
        <f ca="1">IF(C10="",NA(),IF(OR(C10="Smelter not listed",C10="Smelter not yet identified"),MATCH($B10&amp;$D10,'Smelter Look-up'!$J:$J,0),MATCH($B10&amp;$C10,'Smelter Look-up'!$J:$J,0)))</f>
        <v>105</v>
      </c>
      <c r="X10" s="210">
        <f t="shared" ca="1" si="3"/>
        <v>0</v>
      </c>
      <c r="AB10" s="211" t="str">
        <f t="shared" ca="1" si="4"/>
        <v>GoldGlencore Canada Corporation - CCR Refinery</v>
      </c>
    </row>
    <row r="11" spans="1:34" s="210" customFormat="1" ht="20.100000000000001" customHeight="1">
      <c r="A11" s="245" t="s">
        <v>650</v>
      </c>
      <c r="B11" s="166" t="str">
        <f ca="1">IF(LEN(A11)=0,"",INDEX('Smelter Look-up'!$A:$A,MATCH($A11,'Smelter Look-up'!$E:$E,0)))</f>
        <v>Gold</v>
      </c>
      <c r="C11" s="170" t="str">
        <f ca="1">IF(LEN(A11)=0,"",INDEX('Smelter Look-up'!$C:$C,MATCH($A11,'Smelter Look-up'!$E:$E,0)))</f>
        <v>Dowa</v>
      </c>
      <c r="D11" s="213"/>
      <c r="E11" s="166" t="str">
        <f ca="1">IF(ISERROR($V11),"",OFFSET('Smelter Look-up'!$D$4,$V11-4,0)&amp;"")</f>
        <v>JAPAN</v>
      </c>
      <c r="F11" s="166" t="str">
        <f ca="1">IF(ISERROR($V11),"",OFFSET('Smelter Look-up'!$E$4,$V11-4,0))</f>
        <v>CID000401</v>
      </c>
      <c r="G11" s="166" t="str">
        <f ca="1">IF(C11=$X$4,IF(ISERROR($V11),"Enter smelter details","RMI"),IF(ISERROR($V11),"",OFFSET('Smelter Look-up'!$F$4,$V11-4,0)))</f>
        <v>RMI</v>
      </c>
      <c r="H11" s="167">
        <f ca="1">IF(ISERROR($V11),"",OFFSET('Smelter Look-up'!$G$4,$V11-4,0))</f>
        <v>0</v>
      </c>
      <c r="I11" s="168" t="str">
        <f ca="1">IF(ISERROR($V11),"",OFFSET('Smelter Look-up'!$H$4,$V11-4,0))</f>
        <v>Kosaka-machi, Kazuni-gun</v>
      </c>
      <c r="J11" s="168" t="str">
        <f ca="1">IF(ISERROR($V11),"",OFFSET('Smelter Look-up'!$I$4,$V11-4,0))</f>
        <v>Akita</v>
      </c>
      <c r="K11" s="207"/>
      <c r="L11" s="207"/>
      <c r="M11" s="207"/>
      <c r="N11" s="207"/>
      <c r="O11" s="207"/>
      <c r="P11" s="169"/>
      <c r="Q11" s="208"/>
      <c r="R11" s="166" t="str">
        <f ca="1">IF(ISERROR($V11),"",OFFSET('Smelter Look-up'!$C$4,$V11-4,0)&amp;"")</f>
        <v>Dowa</v>
      </c>
      <c r="S11" s="165" t="str">
        <f t="shared" ca="1" si="2"/>
        <v>JP</v>
      </c>
      <c r="T11" s="165" t="str">
        <f ca="1">IF(B11="","",IF(ISERROR(MATCH($J11,SorP!$B$1:$B$6261,0)),"",INDIRECT("'SorP'!$A$"&amp;MATCH($S11&amp;$J11,SorP!C:C,0))))</f>
        <v>JP-05</v>
      </c>
      <c r="U11" s="185"/>
      <c r="V11" s="209">
        <f ca="1">IF(C11="",NA(),IF(OR(C11="Smelter not listed",C11="Smelter not yet identified"),MATCH($B11&amp;$D11,'Smelter Look-up'!$J:$J,0),MATCH($B11&amp;$C11,'Smelter Look-up'!$J:$J,0)))</f>
        <v>79</v>
      </c>
      <c r="X11" s="210">
        <f t="shared" ca="1" si="3"/>
        <v>0</v>
      </c>
      <c r="AB11" s="211" t="str">
        <f t="shared" ca="1" si="4"/>
        <v>GoldDowa</v>
      </c>
    </row>
    <row r="12" spans="1:34" s="210" customFormat="1" ht="20.100000000000001" customHeight="1">
      <c r="A12" s="245" t="s">
        <v>652</v>
      </c>
      <c r="B12" s="166" t="str">
        <f ca="1">IF(LEN(A12)=0,"",INDEX('Smelter Look-up'!$A:$A,MATCH($A12,'Smelter Look-up'!$E:$E,0)))</f>
        <v>Gold</v>
      </c>
      <c r="C12" s="170" t="str">
        <f ca="1">IF(LEN(A12)=0,"",INDEX('Smelter Look-up'!$C:$C,MATCH($A12,'Smelter Look-up'!$E:$E,0)))</f>
        <v>Heimerle + Meule GmbH</v>
      </c>
      <c r="D12" s="213"/>
      <c r="E12" s="166" t="str">
        <f ca="1">IF(ISERROR($V12),"",OFFSET('Smelter Look-up'!$D$4,$V12-4,0)&amp;"")</f>
        <v>GERMANY</v>
      </c>
      <c r="F12" s="166" t="str">
        <f ca="1">IF(ISERROR($V12),"",OFFSET('Smelter Look-up'!$E$4,$V12-4,0))</f>
        <v>CID000694</v>
      </c>
      <c r="G12" s="166" t="str">
        <f ca="1">IF(C12=$X$4,IF(ISERROR($V12),"Enter smelter details","RMI"),IF(ISERROR($V12),"",OFFSET('Smelter Look-up'!$F$4,$V12-4,0)))</f>
        <v>RMI</v>
      </c>
      <c r="H12" s="167">
        <f ca="1">IF(ISERROR($V12),"",OFFSET('Smelter Look-up'!$G$4,$V12-4,0))</f>
        <v>0</v>
      </c>
      <c r="I12" s="168" t="str">
        <f ca="1">IF(ISERROR($V12),"",OFFSET('Smelter Look-up'!$H$4,$V12-4,0))</f>
        <v>Pforzheim</v>
      </c>
      <c r="J12" s="168" t="str">
        <f ca="1">IF(ISERROR($V12),"",OFFSET('Smelter Look-up'!$I$4,$V12-4,0))</f>
        <v>Baden-Württemberg</v>
      </c>
      <c r="K12" s="207"/>
      <c r="L12" s="207"/>
      <c r="M12" s="207"/>
      <c r="N12" s="207"/>
      <c r="O12" s="207"/>
      <c r="P12" s="169"/>
      <c r="Q12" s="208"/>
      <c r="R12" s="166" t="str">
        <f ca="1">IF(ISERROR($V12),"",OFFSET('Smelter Look-up'!$C$4,$V12-4,0)&amp;"")</f>
        <v>Heimerle + Meule GmbH</v>
      </c>
      <c r="S12" s="165" t="str">
        <f t="shared" ca="1" si="2"/>
        <v>DE</v>
      </c>
      <c r="T12" s="165" t="str">
        <f ca="1">IF(B12="","",IF(ISERROR(MATCH($J12,SorP!$B$1:$B$6261,0)),"",INDIRECT("'SorP'!$A$"&amp;MATCH($S12&amp;$J12,SorP!C:C,0))))</f>
        <v>DE-BW</v>
      </c>
      <c r="U12" s="185"/>
      <c r="V12" s="209">
        <f ca="1">IF(C12="",NA(),IF(OR(C12="Smelter not listed",C12="Smelter not yet identified"),MATCH($B12&amp;$D12,'Smelter Look-up'!$J:$J,0),MATCH($B12&amp;$C12,'Smelter Look-up'!$J:$J,0)))</f>
        <v>117</v>
      </c>
      <c r="X12" s="210">
        <f t="shared" ca="1" si="3"/>
        <v>0</v>
      </c>
      <c r="AB12" s="211" t="str">
        <f t="shared" ca="1" si="4"/>
        <v>GoldHeimerle + Meule GmbH</v>
      </c>
    </row>
    <row r="13" spans="1:34" s="210" customFormat="1" ht="20.100000000000001" customHeight="1">
      <c r="A13" s="245" t="s">
        <v>658</v>
      </c>
      <c r="B13" s="166" t="str">
        <f ca="1">IF(LEN(A13)=0,"",INDEX('Smelter Look-up'!$A:$A,MATCH($A13,'Smelter Look-up'!$E:$E,0)))</f>
        <v>Gold</v>
      </c>
      <c r="C13" s="170" t="str">
        <f ca="1">IF(LEN(A13)=0,"",INDEX('Smelter Look-up'!$C:$C,MATCH($A13,'Smelter Look-up'!$E:$E,0)))</f>
        <v>Ishifuku Metal Industry Co., Ltd.</v>
      </c>
      <c r="D13" s="213"/>
      <c r="E13" s="166" t="str">
        <f ca="1">IF(ISERROR($V13),"",OFFSET('Smelter Look-up'!$D$4,$V13-4,0)&amp;"")</f>
        <v>JAPAN</v>
      </c>
      <c r="F13" s="166" t="str">
        <f ca="1">IF(ISERROR($V13),"",OFFSET('Smelter Look-up'!$E$4,$V13-4,0))</f>
        <v>CID000807</v>
      </c>
      <c r="G13" s="166" t="str">
        <f ca="1">IF(C13=$X$4,IF(ISERROR($V13),"Enter smelter details","RMI"),IF(ISERROR($V13),"",OFFSET('Smelter Look-up'!$F$4,$V13-4,0)))</f>
        <v>RMI</v>
      </c>
      <c r="H13" s="167">
        <f ca="1">IF(ISERROR($V13),"",OFFSET('Smelter Look-up'!$G$4,$V13-4,0))</f>
        <v>0</v>
      </c>
      <c r="I13" s="168" t="str">
        <f ca="1">IF(ISERROR($V13),"",OFFSET('Smelter Look-up'!$H$4,$V13-4,0))</f>
        <v>Soka</v>
      </c>
      <c r="J13" s="168" t="str">
        <f ca="1">IF(ISERROR($V13),"",OFFSET('Smelter Look-up'!$I$4,$V13-4,0))</f>
        <v>Saitama</v>
      </c>
      <c r="K13" s="207"/>
      <c r="L13" s="207"/>
      <c r="M13" s="207"/>
      <c r="N13" s="207"/>
      <c r="O13" s="207"/>
      <c r="P13" s="169"/>
      <c r="Q13" s="208"/>
      <c r="R13" s="166" t="str">
        <f ca="1">IF(ISERROR($V13),"",OFFSET('Smelter Look-up'!$C$4,$V13-4,0)&amp;"")</f>
        <v>Ishifuku Metal Industry Co., Ltd.</v>
      </c>
      <c r="S13" s="165" t="str">
        <f t="shared" ca="1" si="2"/>
        <v>JP</v>
      </c>
      <c r="T13" s="165" t="str">
        <f ca="1">IF(B13="","",IF(ISERROR(MATCH($J13,SorP!$B$1:$B$6261,0)),"",INDIRECT("'SorP'!$A$"&amp;MATCH($S13&amp;$J13,SorP!C:C,0))))</f>
        <v>JP-11</v>
      </c>
      <c r="U13" s="185"/>
      <c r="V13" s="209">
        <f ca="1">IF(C13="",NA(),IF(OR(C13="Smelter not listed",C13="Smelter not yet identified"),MATCH($B13&amp;$D13,'Smelter Look-up'!$J:$J,0),MATCH($B13&amp;$C13,'Smelter Look-up'!$J:$J,0)))</f>
        <v>137</v>
      </c>
      <c r="X13" s="210">
        <f t="shared" ca="1" si="3"/>
        <v>0</v>
      </c>
      <c r="AB13" s="211" t="str">
        <f t="shared" ca="1" si="4"/>
        <v>GoldIshifuku Metal Industry Co., Ltd.</v>
      </c>
    </row>
    <row r="14" spans="1:34" s="210" customFormat="1" ht="20.100000000000001" customHeight="1">
      <c r="A14" s="245" t="s">
        <v>662</v>
      </c>
      <c r="B14" s="166" t="str">
        <f ca="1">IF(LEN(A14)=0,"",INDEX('Smelter Look-up'!$A:$A,MATCH($A14,'Smelter Look-up'!$E:$E,0)))</f>
        <v>Gold</v>
      </c>
      <c r="C14" s="170" t="str">
        <f ca="1">IF(LEN(A14)=0,"",INDEX('Smelter Look-up'!$C:$C,MATCH($A14,'Smelter Look-up'!$E:$E,0)))</f>
        <v>Asahi Refining USA Inc.</v>
      </c>
      <c r="D14" s="213"/>
      <c r="E14" s="166" t="str">
        <f ca="1">IF(ISERROR($V14),"",OFFSET('Smelter Look-up'!$D$4,$V14-4,0)&amp;"")</f>
        <v>UNITED STATES OF AMERICA</v>
      </c>
      <c r="F14" s="166" t="str">
        <f ca="1">IF(ISERROR($V14),"",OFFSET('Smelter Look-up'!$E$4,$V14-4,0))</f>
        <v>CID000920</v>
      </c>
      <c r="G14" s="166" t="str">
        <f ca="1">IF(C14=$X$4,IF(ISERROR($V14),"Enter smelter details","RMI"),IF(ISERROR($V14),"",OFFSET('Smelter Look-up'!$F$4,$V14-4,0)))</f>
        <v>RMI</v>
      </c>
      <c r="H14" s="167">
        <f ca="1">IF(ISERROR($V14),"",OFFSET('Smelter Look-up'!$G$4,$V14-4,0))</f>
        <v>0</v>
      </c>
      <c r="I14" s="168" t="str">
        <f ca="1">IF(ISERROR($V14),"",OFFSET('Smelter Look-up'!$H$4,$V14-4,0))</f>
        <v>West Valley</v>
      </c>
      <c r="J14" s="168" t="str">
        <f ca="1">IF(ISERROR($V14),"",OFFSET('Smelter Look-up'!$I$4,$V14-4,0))</f>
        <v>Utah</v>
      </c>
      <c r="K14" s="207"/>
      <c r="L14" s="207"/>
      <c r="M14" s="207"/>
      <c r="N14" s="207"/>
      <c r="O14" s="207"/>
      <c r="P14" s="169"/>
      <c r="Q14" s="208"/>
      <c r="R14" s="166" t="str">
        <f ca="1">IF(ISERROR($V14),"",OFFSET('Smelter Look-up'!$C$4,$V14-4,0)&amp;"")</f>
        <v>Asahi Refining USA Inc.</v>
      </c>
      <c r="S14" s="165" t="str">
        <f t="shared" ca="1" si="2"/>
        <v>US</v>
      </c>
      <c r="T14" s="165" t="str">
        <f ca="1">IF(B14="","",IF(ISERROR(MATCH($J14,SorP!$B$1:$B$6261,0)),"",INDIRECT("'SorP'!$A$"&amp;MATCH($S14&amp;$J14,SorP!C:C,0))))</f>
        <v>US-UT</v>
      </c>
      <c r="U14" s="185"/>
      <c r="V14" s="209">
        <f ca="1">IF(C14="",NA(),IF(OR(C14="Smelter not listed",C14="Smelter not yet identified"),MATCH($B14&amp;$D14,'Smelter Look-up'!$J:$J,0),MATCH($B14&amp;$C14,'Smelter Look-up'!$J:$J,0)))</f>
        <v>35</v>
      </c>
      <c r="X14" s="210">
        <f t="shared" ca="1" si="3"/>
        <v>0</v>
      </c>
      <c r="AB14" s="211" t="str">
        <f t="shared" ca="1" si="4"/>
        <v>GoldAsahi Refining USA Inc.</v>
      </c>
    </row>
    <row r="15" spans="1:34" s="210" customFormat="1" ht="20.100000000000001" customHeight="1">
      <c r="A15" s="245" t="s">
        <v>666</v>
      </c>
      <c r="B15" s="166" t="str">
        <f ca="1">IF(LEN(A15)=0,"",INDEX('Smelter Look-up'!$A:$A,MATCH($A15,'Smelter Look-up'!$E:$E,0)))</f>
        <v>Gold</v>
      </c>
      <c r="C15" s="170" t="str">
        <f ca="1">IF(LEN(A15)=0,"",INDEX('Smelter Look-up'!$C:$C,MATCH($A15,'Smelter Look-up'!$E:$E,0)))</f>
        <v>JX Advanced Metals Corporation</v>
      </c>
      <c r="D15" s="213"/>
      <c r="E15" s="166" t="str">
        <f ca="1">IF(ISERROR($V15),"",OFFSET('Smelter Look-up'!$D$4,$V15-4,0)&amp;"")</f>
        <v>JAPAN</v>
      </c>
      <c r="F15" s="166" t="str">
        <f ca="1">IF(ISERROR($V15),"",OFFSET('Smelter Look-up'!$E$4,$V15-4,0))</f>
        <v>CID000937</v>
      </c>
      <c r="G15" s="166" t="str">
        <f ca="1">IF(C15=$X$4,IF(ISERROR($V15),"Enter smelter details","RMI"),IF(ISERROR($V15),"",OFFSET('Smelter Look-up'!$F$4,$V15-4,0)))</f>
        <v>RMI</v>
      </c>
      <c r="H15" s="167">
        <f ca="1">IF(ISERROR($V15),"",OFFSET('Smelter Look-up'!$G$4,$V15-4,0))</f>
        <v>0</v>
      </c>
      <c r="I15" s="168" t="str">
        <f ca="1">IF(ISERROR($V15),"",OFFSET('Smelter Look-up'!$H$4,$V15-4,0))</f>
        <v>Minato</v>
      </c>
      <c r="J15" s="168" t="str">
        <f ca="1">IF(ISERROR($V15),"",OFFSET('Smelter Look-up'!$I$4,$V15-4,0))</f>
        <v>Tokyo</v>
      </c>
      <c r="K15" s="207"/>
      <c r="L15" s="207"/>
      <c r="M15" s="207"/>
      <c r="N15" s="207"/>
      <c r="O15" s="207"/>
      <c r="P15" s="169"/>
      <c r="Q15" s="208"/>
      <c r="R15" s="166" t="str">
        <f ca="1">IF(ISERROR($V15),"",OFFSET('Smelter Look-up'!$C$4,$V15-4,0)&amp;"")</f>
        <v>JX Advanced Metals Corporation</v>
      </c>
      <c r="S15" s="165" t="str">
        <f t="shared" ca="1" si="2"/>
        <v>JP</v>
      </c>
      <c r="T15" s="165" t="str">
        <f ca="1">IF(B15="","",IF(ISERROR(MATCH($J15,SorP!$B$1:$B$6261,0)),"",INDIRECT("'SorP'!$A$"&amp;MATCH($S15&amp;$J15,SorP!C:C,0))))</f>
        <v>JP-13</v>
      </c>
      <c r="U15" s="185"/>
      <c r="V15" s="209">
        <f ca="1">IF(C15="",NA(),IF(OR(C15="Smelter not listed",C15="Smelter not yet identified"),MATCH($B15&amp;$D15,'Smelter Look-up'!$J:$J,0),MATCH($B15&amp;$C15,'Smelter Look-up'!$J:$J,0)))</f>
        <v>151</v>
      </c>
      <c r="X15" s="210">
        <f t="shared" ca="1" si="3"/>
        <v>0</v>
      </c>
      <c r="AB15" s="211" t="str">
        <f t="shared" ca="1" si="4"/>
        <v>GoldJX Advanced Metals Corporation</v>
      </c>
    </row>
    <row r="16" spans="1:34" s="210" customFormat="1" ht="20.100000000000001" customHeight="1">
      <c r="A16" s="245" t="s">
        <v>676</v>
      </c>
      <c r="B16" s="166" t="str">
        <f ca="1">IF(LEN(A16)=0,"",INDEX('Smelter Look-up'!$A:$A,MATCH($A16,'Smelter Look-up'!$E:$E,0)))</f>
        <v>Gold</v>
      </c>
      <c r="C16" s="170" t="str">
        <f ca="1">IF(LEN(A16)=0,"",INDEX('Smelter Look-up'!$C:$C,MATCH($A16,'Smelter Look-up'!$E:$E,0)))</f>
        <v>Matsuda Sangyo Co., Ltd.</v>
      </c>
      <c r="D16" s="213"/>
      <c r="E16" s="166" t="str">
        <f ca="1">IF(ISERROR($V16),"",OFFSET('Smelter Look-up'!$D$4,$V16-4,0)&amp;"")</f>
        <v>JAPAN</v>
      </c>
      <c r="F16" s="166" t="str">
        <f ca="1">IF(ISERROR($V16),"",OFFSET('Smelter Look-up'!$E$4,$V16-4,0))</f>
        <v>CID001119</v>
      </c>
      <c r="G16" s="166" t="str">
        <f ca="1">IF(C16=$X$4,IF(ISERROR($V16),"Enter smelter details","RMI"),IF(ISERROR($V16),"",OFFSET('Smelter Look-up'!$F$4,$V16-4,0)))</f>
        <v>RMI</v>
      </c>
      <c r="H16" s="167">
        <f ca="1">IF(ISERROR($V16),"",OFFSET('Smelter Look-up'!$G$4,$V16-4,0))</f>
        <v>0</v>
      </c>
      <c r="I16" s="168" t="str">
        <f ca="1">IF(ISERROR($V16),"",OFFSET('Smelter Look-up'!$H$4,$V16-4,0))</f>
        <v>Shinjuku</v>
      </c>
      <c r="J16" s="168" t="str">
        <f ca="1">IF(ISERROR($V16),"",OFFSET('Smelter Look-up'!$I$4,$V16-4,0))</f>
        <v>Tokyo</v>
      </c>
      <c r="K16" s="207"/>
      <c r="L16" s="207"/>
      <c r="M16" s="207"/>
      <c r="N16" s="207"/>
      <c r="O16" s="207"/>
      <c r="P16" s="169"/>
      <c r="Q16" s="208"/>
      <c r="R16" s="166" t="str">
        <f ca="1">IF(ISERROR($V16),"",OFFSET('Smelter Look-up'!$C$4,$V16-4,0)&amp;"")</f>
        <v>Matsuda Sangyo Co., Ltd.</v>
      </c>
      <c r="S16" s="165" t="str">
        <f t="shared" ca="1" si="2"/>
        <v>JP</v>
      </c>
      <c r="T16" s="165" t="str">
        <f ca="1">IF(B16="","",IF(ISERROR(MATCH($J16,SorP!$B$1:$B$6261,0)),"",INDIRECT("'SorP'!$A$"&amp;MATCH($S16&amp;$J16,SorP!C:C,0))))</f>
        <v>JP-13</v>
      </c>
      <c r="U16" s="185"/>
      <c r="V16" s="209">
        <f ca="1">IF(C16="",NA(),IF(OR(C16="Smelter not listed",C16="Smelter not yet identified"),MATCH($B16&amp;$D16,'Smelter Look-up'!$J:$J,0),MATCH($B16&amp;$C16,'Smelter Look-up'!$J:$J,0)))</f>
        <v>185</v>
      </c>
      <c r="X16" s="210">
        <f t="shared" ca="1" si="3"/>
        <v>0</v>
      </c>
      <c r="AB16" s="211" t="str">
        <f t="shared" ca="1" si="4"/>
        <v>GoldMatsuda Sangyo Co., Ltd.</v>
      </c>
    </row>
    <row r="17" spans="1:28" s="210" customFormat="1" ht="20.100000000000001" customHeight="1">
      <c r="A17" s="245" t="s">
        <v>677</v>
      </c>
      <c r="B17" s="166" t="str">
        <f ca="1">IF(LEN(A17)=0,"",INDEX('Smelter Look-up'!$A:$A,MATCH($A17,'Smelter Look-up'!$E:$E,0)))</f>
        <v>Gold</v>
      </c>
      <c r="C17" s="170" t="str">
        <f ca="1">IF(LEN(A17)=0,"",INDEX('Smelter Look-up'!$C:$C,MATCH($A17,'Smelter Look-up'!$E:$E,0)))</f>
        <v>Metalor Technologies (Hong Kong) Ltd.</v>
      </c>
      <c r="D17" s="213"/>
      <c r="E17" s="166" t="str">
        <f ca="1">IF(ISERROR($V17),"",OFFSET('Smelter Look-up'!$D$4,$V17-4,0)&amp;"")</f>
        <v>CHINA</v>
      </c>
      <c r="F17" s="166" t="str">
        <f ca="1">IF(ISERROR($V17),"",OFFSET('Smelter Look-up'!$E$4,$V17-4,0))</f>
        <v>CID001149</v>
      </c>
      <c r="G17" s="166" t="str">
        <f ca="1">IF(C17=$X$4,IF(ISERROR($V17),"Enter smelter details","RMI"),IF(ISERROR($V17),"",OFFSET('Smelter Look-up'!$F$4,$V17-4,0)))</f>
        <v>RMI</v>
      </c>
      <c r="H17" s="167">
        <f ca="1">IF(ISERROR($V17),"",OFFSET('Smelter Look-up'!$G$4,$V17-4,0))</f>
        <v>0</v>
      </c>
      <c r="I17" s="168" t="str">
        <f ca="1">IF(ISERROR($V17),"",OFFSET('Smelter Look-up'!$H$4,$V17-4,0))</f>
        <v>Yuen Long</v>
      </c>
      <c r="J17" s="168" t="str">
        <f ca="1">IF(ISERROR($V17),"",OFFSET('Smelter Look-up'!$I$4,$V17-4,0))</f>
        <v>Hong Kong SAR</v>
      </c>
      <c r="K17" s="207"/>
      <c r="L17" s="207"/>
      <c r="M17" s="207"/>
      <c r="N17" s="207"/>
      <c r="O17" s="207"/>
      <c r="P17" s="169"/>
      <c r="Q17" s="208"/>
      <c r="R17" s="166" t="str">
        <f ca="1">IF(ISERROR($V17),"",OFFSET('Smelter Look-up'!$C$4,$V17-4,0)&amp;"")</f>
        <v>Metalor Technologies (Hong Kong) Ltd.</v>
      </c>
      <c r="S17" s="165" t="str">
        <f t="shared" ca="1" si="2"/>
        <v>CN</v>
      </c>
      <c r="T17" s="165" t="str">
        <f ca="1">IF(B17="","",IF(ISERROR(MATCH($J17,SorP!$B$1:$B$6261,0)),"",INDIRECT("'SorP'!$A$"&amp;MATCH($S17&amp;$J17,SorP!C:C,0))))</f>
        <v/>
      </c>
      <c r="U17" s="185"/>
      <c r="V17" s="209">
        <f ca="1">IF(C17="",NA(),IF(OR(C17="Smelter not listed",C17="Smelter not yet identified"),MATCH($B17&amp;$D17,'Smelter Look-up'!$J:$J,0),MATCH($B17&amp;$C17,'Smelter Look-up'!$J:$J,0)))</f>
        <v>193</v>
      </c>
      <c r="X17" s="210">
        <f t="shared" ca="1" si="3"/>
        <v>0</v>
      </c>
      <c r="AB17" s="211" t="str">
        <f t="shared" ca="1" si="4"/>
        <v>GoldMetalor Technologies (Hong Kong) Ltd.</v>
      </c>
    </row>
    <row r="18" spans="1:28" s="210" customFormat="1" ht="20.100000000000001" customHeight="1">
      <c r="A18" s="165" t="s">
        <v>679</v>
      </c>
      <c r="B18" s="166" t="str">
        <f ca="1">IF(LEN(A18)=0,"",INDEX('Smelter Look-up'!$A:$A,MATCH($A18,'Smelter Look-up'!$E:$E,0)))</f>
        <v>Gold</v>
      </c>
      <c r="C18" s="170" t="str">
        <f ca="1">IF(LEN(A18)=0,"",INDEX('Smelter Look-up'!$C:$C,MATCH($A18,'Smelter Look-up'!$E:$E,0)))</f>
        <v>Metalor Technologies S.A.</v>
      </c>
      <c r="D18" s="213"/>
      <c r="E18" s="166" t="str">
        <f ca="1">IF(ISERROR($V18),"",OFFSET('Smelter Look-up'!$D$4,$V18-4,0)&amp;"")</f>
        <v>SWITZERLAND</v>
      </c>
      <c r="F18" s="166" t="str">
        <f ca="1">IF(ISERROR($V18),"",OFFSET('Smelter Look-up'!$E$4,$V18-4,0))</f>
        <v>CID001153</v>
      </c>
      <c r="G18" s="166" t="str">
        <f ca="1">IF(C18=$X$4,IF(ISERROR($V18),"Enter smelter details","RMI"),IF(ISERROR($V18),"",OFFSET('Smelter Look-up'!$F$4,$V18-4,0)))</f>
        <v>RMI</v>
      </c>
      <c r="H18" s="167">
        <f ca="1">IF(ISERROR($V18),"",OFFSET('Smelter Look-up'!$G$4,$V18-4,0))</f>
        <v>0</v>
      </c>
      <c r="I18" s="168" t="str">
        <f ca="1">IF(ISERROR($V18),"",OFFSET('Smelter Look-up'!$H$4,$V18-4,0))</f>
        <v>Marin</v>
      </c>
      <c r="J18" s="168" t="str">
        <f ca="1">IF(ISERROR($V18),"",OFFSET('Smelter Look-up'!$I$4,$V18-4,0))</f>
        <v>Neuchâtel</v>
      </c>
      <c r="K18" s="207"/>
      <c r="L18" s="207"/>
      <c r="M18" s="207"/>
      <c r="N18" s="207"/>
      <c r="O18" s="207"/>
      <c r="P18" s="169"/>
      <c r="Q18" s="208"/>
      <c r="R18" s="166" t="str">
        <f ca="1">IF(ISERROR($V18),"",OFFSET('Smelter Look-up'!$C$4,$V18-4,0)&amp;"")</f>
        <v>Metalor Technologies S.A.</v>
      </c>
      <c r="S18" s="165" t="str">
        <f t="shared" ca="1" si="2"/>
        <v>CH</v>
      </c>
      <c r="T18" s="165" t="str">
        <f ca="1">IF(B18="","",IF(ISERROR(MATCH($J18,SorP!$B$1:$B$6261,0)),"",INDIRECT("'SorP'!$A$"&amp;MATCH($S18&amp;$J18,SorP!C:C,0))))</f>
        <v>CH-NE</v>
      </c>
      <c r="U18" s="185"/>
      <c r="V18" s="209">
        <f ca="1">IF(C18="",NA(),IF(OR(C18="Smelter not listed",C18="Smelter not yet identified"),MATCH($B18&amp;$D18,'Smelter Look-up'!$J:$J,0),MATCH($B18&amp;$C18,'Smelter Look-up'!$J:$J,0)))</f>
        <v>196</v>
      </c>
      <c r="X18" s="210">
        <f t="shared" ca="1" si="3"/>
        <v>0</v>
      </c>
      <c r="AB18" s="211" t="str">
        <f t="shared" ca="1" si="4"/>
        <v>GoldMetalor Technologies S.A.</v>
      </c>
    </row>
    <row r="19" spans="1:28" s="210" customFormat="1" ht="20.25">
      <c r="A19" s="165" t="s">
        <v>682</v>
      </c>
      <c r="B19" s="166" t="str">
        <f ca="1">IF(LEN(A19)=0,"",INDEX('Smelter Look-up'!$A:$A,MATCH($A19,'Smelter Look-up'!$E:$E,0)))</f>
        <v>Gold</v>
      </c>
      <c r="C19" s="170" t="str">
        <f ca="1">IF(LEN(A19)=0,"",INDEX('Smelter Look-up'!$C:$C,MATCH($A19,'Smelter Look-up'!$E:$E,0)))</f>
        <v>Mitsubishi Materials Corporation</v>
      </c>
      <c r="D19" s="213"/>
      <c r="E19" s="166" t="str">
        <f ca="1">IF(ISERROR($V19),"",OFFSET('Smelter Look-up'!$D$4,$V19-4,0)&amp;"")</f>
        <v>JAPAN</v>
      </c>
      <c r="F19" s="166" t="str">
        <f ca="1">IF(ISERROR($V19),"",OFFSET('Smelter Look-up'!$E$4,$V19-4,0))</f>
        <v>CID001188</v>
      </c>
      <c r="G19" s="166" t="str">
        <f ca="1">IF(C19=$X$4,IF(ISERROR($V19),"Enter smelter details","RMI"),IF(ISERROR($V19),"",OFFSET('Smelter Look-up'!$F$4,$V19-4,0)))</f>
        <v>RMI</v>
      </c>
      <c r="H19" s="167">
        <f ca="1">IF(ISERROR($V19),"",OFFSET('Smelter Look-up'!$G$4,$V19-4,0))</f>
        <v>0</v>
      </c>
      <c r="I19" s="168" t="str">
        <f ca="1">IF(ISERROR($V19),"",OFFSET('Smelter Look-up'!$H$4,$V19-4,0))</f>
        <v>Tokyo</v>
      </c>
      <c r="J19" s="168" t="str">
        <f ca="1">IF(ISERROR($V19),"",OFFSET('Smelter Look-up'!$I$4,$V19-4,0))</f>
        <v>Tokyo</v>
      </c>
      <c r="K19" s="207"/>
      <c r="L19" s="207"/>
      <c r="M19" s="207"/>
      <c r="N19" s="207"/>
      <c r="O19" s="207"/>
      <c r="P19" s="169"/>
      <c r="Q19" s="208"/>
      <c r="R19" s="166" t="str">
        <f ca="1">IF(ISERROR($V19),"",OFFSET('Smelter Look-up'!$C$4,$V19-4,0)&amp;"")</f>
        <v>Mitsubishi Materials Corporation</v>
      </c>
      <c r="S19" s="165" t="str">
        <f t="shared" ca="1" si="2"/>
        <v>JP</v>
      </c>
      <c r="T19" s="165" t="str">
        <f ca="1">IF(B19="","",IF(ISERROR(MATCH($J19,SorP!$B$1:$B$6261,0)),"",INDIRECT("'SorP'!$A$"&amp;MATCH($S19&amp;$J19,SorP!C:C,0))))</f>
        <v>JP-13</v>
      </c>
      <c r="U19" s="185"/>
      <c r="V19" s="209">
        <f ca="1">IF(C19="",NA(),IF(OR(C19="Smelter not listed",C19="Smelter not yet identified"),MATCH($B19&amp;$D19,'Smelter Look-up'!$J:$J,0),MATCH($B19&amp;$C19,'Smelter Look-up'!$J:$J,0)))</f>
        <v>204</v>
      </c>
      <c r="X19" s="210">
        <f t="shared" ca="1" si="3"/>
        <v>0</v>
      </c>
      <c r="AB19" s="211" t="str">
        <f t="shared" ca="1" si="4"/>
        <v>GoldMitsubishi Materials Corporation</v>
      </c>
    </row>
    <row r="20" spans="1:28" s="210" customFormat="1" ht="20.25">
      <c r="A20" s="165" t="s">
        <v>683</v>
      </c>
      <c r="B20" s="166" t="str">
        <f ca="1">IF(LEN(A20)=0,"",INDEX('Smelter Look-up'!$A:$A,MATCH($A20,'Smelter Look-up'!$E:$E,0)))</f>
        <v>Gold</v>
      </c>
      <c r="C20" s="170" t="str">
        <f ca="1">IF(LEN(A20)=0,"",INDEX('Smelter Look-up'!$C:$C,MATCH($A20,'Smelter Look-up'!$E:$E,0)))</f>
        <v>Mitsui Mining and Smelting Co., Ltd.</v>
      </c>
      <c r="D20" s="213"/>
      <c r="E20" s="166" t="str">
        <f ca="1">IF(ISERROR($V20),"",OFFSET('Smelter Look-up'!$D$4,$V20-4,0)&amp;"")</f>
        <v>JAPAN</v>
      </c>
      <c r="F20" s="166" t="str">
        <f ca="1">IF(ISERROR($V20),"",OFFSET('Smelter Look-up'!$E$4,$V20-4,0))</f>
        <v>CID001193</v>
      </c>
      <c r="G20" s="166" t="str">
        <f ca="1">IF(C20=$X$4,IF(ISERROR($V20),"Enter smelter details","RMI"),IF(ISERROR($V20),"",OFFSET('Smelter Look-up'!$F$4,$V20-4,0)))</f>
        <v>RMI</v>
      </c>
      <c r="H20" s="167">
        <f ca="1">IF(ISERROR($V20),"",OFFSET('Smelter Look-up'!$G$4,$V20-4,0))</f>
        <v>0</v>
      </c>
      <c r="I20" s="168" t="str">
        <f ca="1">IF(ISERROR($V20),"",OFFSET('Smelter Look-up'!$H$4,$V20-4,0))</f>
        <v>Takehara</v>
      </c>
      <c r="J20" s="168" t="str">
        <f ca="1">IF(ISERROR($V20),"",OFFSET('Smelter Look-up'!$I$4,$V20-4,0))</f>
        <v>Hiroshima</v>
      </c>
      <c r="K20" s="207"/>
      <c r="L20" s="207"/>
      <c r="M20" s="207"/>
      <c r="N20" s="207"/>
      <c r="O20" s="207"/>
      <c r="P20" s="169"/>
      <c r="Q20" s="208"/>
      <c r="R20" s="166" t="str">
        <f ca="1">IF(ISERROR($V20),"",OFFSET('Smelter Look-up'!$C$4,$V20-4,0)&amp;"")</f>
        <v>Mitsui Mining and Smelting Co., Ltd.</v>
      </c>
      <c r="S20" s="165" t="str">
        <f t="shared" ca="1" si="2"/>
        <v>JP</v>
      </c>
      <c r="T20" s="165" t="str">
        <f ca="1">IF(B20="","",IF(ISERROR(MATCH($J20,SorP!$B$1:$B$6261,0)),"",INDIRECT("'SorP'!$A$"&amp;MATCH($S20&amp;$J20,SorP!C:C,0))))</f>
        <v>JP-34</v>
      </c>
      <c r="U20" s="185"/>
      <c r="V20" s="209">
        <f ca="1">IF(C20="",NA(),IF(OR(C20="Smelter not listed",C20="Smelter not yet identified"),MATCH($B20&amp;$D20,'Smelter Look-up'!$J:$J,0),MATCH($B20&amp;$C20,'Smelter Look-up'!$J:$J,0)))</f>
        <v>206</v>
      </c>
      <c r="X20" s="210">
        <f t="shared" ca="1" si="3"/>
        <v>0</v>
      </c>
      <c r="AB20" s="211" t="str">
        <f t="shared" ca="1" si="4"/>
        <v>GoldMitsui Mining and Smelting Co., Ltd.</v>
      </c>
    </row>
    <row r="21" spans="1:28" s="210" customFormat="1" ht="20.25">
      <c r="A21" s="165" t="s">
        <v>687</v>
      </c>
      <c r="B21" s="166" t="str">
        <f ca="1">IF(LEN(A21)=0,"",INDEX('Smelter Look-up'!$A:$A,MATCH($A21,'Smelter Look-up'!$E:$E,0)))</f>
        <v>Gold</v>
      </c>
      <c r="C21" s="170" t="str">
        <f ca="1">IF(LEN(A21)=0,"",INDEX('Smelter Look-up'!$C:$C,MATCH($A21,'Smelter Look-up'!$E:$E,0)))</f>
        <v>Nihon Material Co., Ltd.</v>
      </c>
      <c r="D21" s="213"/>
      <c r="E21" s="166" t="str">
        <f ca="1">IF(ISERROR($V21),"",OFFSET('Smelter Look-up'!$D$4,$V21-4,0)&amp;"")</f>
        <v>JAPAN</v>
      </c>
      <c r="F21" s="166" t="str">
        <f ca="1">IF(ISERROR($V21),"",OFFSET('Smelter Look-up'!$E$4,$V21-4,0))</f>
        <v>CID001259</v>
      </c>
      <c r="G21" s="166" t="str">
        <f ca="1">IF(C21=$X$4,IF(ISERROR($V21),"Enter smelter details","RMI"),IF(ISERROR($V21),"",OFFSET('Smelter Look-up'!$F$4,$V21-4,0)))</f>
        <v>RMI</v>
      </c>
      <c r="H21" s="167">
        <f ca="1">IF(ISERROR($V21),"",OFFSET('Smelter Look-up'!$G$4,$V21-4,0))</f>
        <v>0</v>
      </c>
      <c r="I21" s="168" t="str">
        <f ca="1">IF(ISERROR($V21),"",OFFSET('Smelter Look-up'!$H$4,$V21-4,0))</f>
        <v>Noda</v>
      </c>
      <c r="J21" s="168" t="str">
        <f ca="1">IF(ISERROR($V21),"",OFFSET('Smelter Look-up'!$I$4,$V21-4,0))</f>
        <v>Chiba</v>
      </c>
      <c r="K21" s="207"/>
      <c r="L21" s="207"/>
      <c r="M21" s="207"/>
      <c r="N21" s="207"/>
      <c r="O21" s="207"/>
      <c r="P21" s="169"/>
      <c r="Q21" s="208"/>
      <c r="R21" s="166" t="str">
        <f ca="1">IF(ISERROR($V21),"",OFFSET('Smelter Look-up'!$C$4,$V21-4,0)&amp;"")</f>
        <v>Nihon Material Co., Ltd.</v>
      </c>
      <c r="S21" s="165" t="str">
        <f t="shared" ca="1" si="2"/>
        <v>JP</v>
      </c>
      <c r="T21" s="165" t="str">
        <f ca="1">IF(B21="","",IF(ISERROR(MATCH($J21,SorP!$B$1:$B$6261,0)),"",INDIRECT("'SorP'!$A$"&amp;MATCH($S21&amp;$J21,SorP!C:C,0))))</f>
        <v>JP-12</v>
      </c>
      <c r="U21" s="185"/>
      <c r="V21" s="209">
        <f ca="1">IF(C21="",NA(),IF(OR(C21="Smelter not listed",C21="Smelter not yet identified"),MATCH($B21&amp;$D21,'Smelter Look-up'!$J:$J,0),MATCH($B21&amp;$C21,'Smelter Look-up'!$J:$J,0)))</f>
        <v>217</v>
      </c>
      <c r="X21" s="210">
        <f t="shared" ca="1" si="3"/>
        <v>0</v>
      </c>
      <c r="AB21" s="211" t="str">
        <f t="shared" ca="1" si="4"/>
        <v>GoldNihon Material Co., Ltd.</v>
      </c>
    </row>
    <row r="22" spans="1:28" s="210" customFormat="1" ht="20.25">
      <c r="A22" s="165" t="s">
        <v>690</v>
      </c>
      <c r="B22" s="166" t="str">
        <f ca="1">IF(LEN(A22)=0,"",INDEX('Smelter Look-up'!$A:$A,MATCH($A22,'Smelter Look-up'!$E:$E,0)))</f>
        <v>Gold</v>
      </c>
      <c r="C22" s="170" t="str">
        <f ca="1">IF(LEN(A22)=0,"",INDEX('Smelter Look-up'!$C:$C,MATCH($A22,'Smelter Look-up'!$E:$E,0)))</f>
        <v>MKS PAMP SA</v>
      </c>
      <c r="D22" s="213"/>
      <c r="E22" s="166" t="str">
        <f ca="1">IF(ISERROR($V22),"",OFFSET('Smelter Look-up'!$D$4,$V22-4,0)&amp;"")</f>
        <v>SWITZERLAND</v>
      </c>
      <c r="F22" s="166" t="str">
        <f ca="1">IF(ISERROR($V22),"",OFFSET('Smelter Look-up'!$E$4,$V22-4,0))</f>
        <v>CID001352</v>
      </c>
      <c r="G22" s="166" t="str">
        <f ca="1">IF(C22=$X$4,IF(ISERROR($V22),"Enter smelter details","RMI"),IF(ISERROR($V22),"",OFFSET('Smelter Look-up'!$F$4,$V22-4,0)))</f>
        <v>RMI</v>
      </c>
      <c r="H22" s="167">
        <f ca="1">IF(ISERROR($V22),"",OFFSET('Smelter Look-up'!$G$4,$V22-4,0))</f>
        <v>0</v>
      </c>
      <c r="I22" s="168" t="str">
        <f ca="1">IF(ISERROR($V22),"",OFFSET('Smelter Look-up'!$H$4,$V22-4,0))</f>
        <v>Geneva</v>
      </c>
      <c r="J22" s="168" t="str">
        <f ca="1">IF(ISERROR($V22),"",OFFSET('Smelter Look-up'!$I$4,$V22-4,0))</f>
        <v>Genève</v>
      </c>
      <c r="K22" s="207"/>
      <c r="L22" s="207"/>
      <c r="M22" s="207"/>
      <c r="N22" s="207"/>
      <c r="O22" s="207"/>
      <c r="P22" s="169"/>
      <c r="Q22" s="208"/>
      <c r="R22" s="166" t="str">
        <f ca="1">IF(ISERROR($V22),"",OFFSET('Smelter Look-up'!$C$4,$V22-4,0)&amp;"")</f>
        <v>MKS PAMP SA</v>
      </c>
      <c r="S22" s="165" t="str">
        <f t="shared" ca="1" si="2"/>
        <v>CH</v>
      </c>
      <c r="T22" s="165" t="str">
        <f ca="1">IF(B22="","",IF(ISERROR(MATCH($J22,SorP!$B$1:$B$6261,0)),"",INDIRECT("'SorP'!$A$"&amp;MATCH($S22&amp;$J22,SorP!C:C,0))))</f>
        <v>CH-GE</v>
      </c>
      <c r="U22" s="185"/>
      <c r="V22" s="209">
        <f ca="1">IF(C22="",NA(),IF(OR(C22="Smelter not listed",C22="Smelter not yet identified"),MATCH($B22&amp;$D22,'Smelter Look-up'!$J:$J,0),MATCH($B22&amp;$C22,'Smelter Look-up'!$J:$J,0)))</f>
        <v>207</v>
      </c>
      <c r="X22" s="210">
        <f t="shared" ca="1" si="3"/>
        <v>0</v>
      </c>
      <c r="AB22" s="211" t="str">
        <f t="shared" ca="1" si="4"/>
        <v>GoldMKS PAMP SA</v>
      </c>
    </row>
    <row r="23" spans="1:28" s="210" customFormat="1" ht="20.25">
      <c r="A23" s="165" t="s">
        <v>699</v>
      </c>
      <c r="B23" s="166" t="str">
        <f ca="1">IF(LEN(A23)=0,"",INDEX('Smelter Look-up'!$A:$A,MATCH($A23,'Smelter Look-up'!$E:$E,0)))</f>
        <v>Gold</v>
      </c>
      <c r="C23" s="170" t="str">
        <f ca="1">IF(LEN(A23)=0,"",INDEX('Smelter Look-up'!$C:$C,MATCH($A23,'Smelter Look-up'!$E:$E,0)))</f>
        <v>SEMPSA Joyeria Plateria S.A.</v>
      </c>
      <c r="D23" s="213"/>
      <c r="E23" s="166" t="str">
        <f ca="1">IF(ISERROR($V23),"",OFFSET('Smelter Look-up'!$D$4,$V23-4,0)&amp;"")</f>
        <v>SPAIN</v>
      </c>
      <c r="F23" s="166" t="str">
        <f ca="1">IF(ISERROR($V23),"",OFFSET('Smelter Look-up'!$E$4,$V23-4,0))</f>
        <v>CID001585</v>
      </c>
      <c r="G23" s="166" t="str">
        <f ca="1">IF(C23=$X$4,IF(ISERROR($V23),"Enter smelter details","RMI"),IF(ISERROR($V23),"",OFFSET('Smelter Look-up'!$F$4,$V23-4,0)))</f>
        <v>RMI</v>
      </c>
      <c r="H23" s="167">
        <f ca="1">IF(ISERROR($V23),"",OFFSET('Smelter Look-up'!$G$4,$V23-4,0))</f>
        <v>0</v>
      </c>
      <c r="I23" s="168" t="str">
        <f ca="1">IF(ISERROR($V23),"",OFFSET('Smelter Look-up'!$H$4,$V23-4,0))</f>
        <v>Madrid</v>
      </c>
      <c r="J23" s="168" t="str">
        <f ca="1">IF(ISERROR($V23),"",OFFSET('Smelter Look-up'!$I$4,$V23-4,0))</f>
        <v>Madrid, Comunidad de</v>
      </c>
      <c r="K23" s="207"/>
      <c r="L23" s="207"/>
      <c r="M23" s="207"/>
      <c r="N23" s="207"/>
      <c r="O23" s="207"/>
      <c r="P23" s="169"/>
      <c r="Q23" s="208"/>
      <c r="R23" s="166" t="str">
        <f ca="1">IF(ISERROR($V23),"",OFFSET('Smelter Look-up'!$C$4,$V23-4,0)&amp;"")</f>
        <v>SEMPSA Joyeria Plateria S.A.</v>
      </c>
      <c r="S23" s="165" t="str">
        <f t="shared" ca="1" si="2"/>
        <v>ES</v>
      </c>
      <c r="T23" s="165" t="str">
        <f ca="1">IF(B23="","",IF(ISERROR(MATCH($J23,SorP!$B$1:$B$6261,0)),"",INDIRECT("'SorP'!$A$"&amp;MATCH($S23&amp;$J23,SorP!C:C,0))))</f>
        <v>ES-MD</v>
      </c>
      <c r="U23" s="185"/>
      <c r="V23" s="209">
        <f ca="1">IF(C23="",NA(),IF(OR(C23="Smelter not listed",C23="Smelter not yet identified"),MATCH($B23&amp;$D23,'Smelter Look-up'!$J:$J,0),MATCH($B23&amp;$C23,'Smelter Look-up'!$J:$J,0)))</f>
        <v>258</v>
      </c>
      <c r="X23" s="210">
        <f t="shared" ca="1" si="3"/>
        <v>0</v>
      </c>
      <c r="AB23" s="211" t="str">
        <f t="shared" ca="1" si="4"/>
        <v>GoldSEMPSA Joyeria Plateria S.A.</v>
      </c>
    </row>
    <row r="24" spans="1:28" s="210" customFormat="1" ht="20.25">
      <c r="A24" s="165" t="s">
        <v>703</v>
      </c>
      <c r="B24" s="166" t="str">
        <f ca="1">IF(LEN(A24)=0,"",INDEX('Smelter Look-up'!$A:$A,MATCH($A24,'Smelter Look-up'!$E:$E,0)))</f>
        <v>Gold</v>
      </c>
      <c r="C24" s="170" t="str">
        <f ca="1">IF(LEN(A24)=0,"",INDEX('Smelter Look-up'!$C:$C,MATCH($A24,'Smelter Look-up'!$E:$E,0)))</f>
        <v>Sumitomo Metal Mining Co., Ltd.</v>
      </c>
      <c r="D24" s="213"/>
      <c r="E24" s="166" t="str">
        <f ca="1">IF(ISERROR($V24),"",OFFSET('Smelter Look-up'!$D$4,$V24-4,0)&amp;"")</f>
        <v>JAPAN</v>
      </c>
      <c r="F24" s="166" t="str">
        <f ca="1">IF(ISERROR($V24),"",OFFSET('Smelter Look-up'!$E$4,$V24-4,0))</f>
        <v>CID001798</v>
      </c>
      <c r="G24" s="166" t="str">
        <f ca="1">IF(C24=$X$4,IF(ISERROR($V24),"Enter smelter details","RMI"),IF(ISERROR($V24),"",OFFSET('Smelter Look-up'!$F$4,$V24-4,0)))</f>
        <v>RMI</v>
      </c>
      <c r="H24" s="167">
        <f ca="1">IF(ISERROR($V24),"",OFFSET('Smelter Look-up'!$G$4,$V24-4,0))</f>
        <v>0</v>
      </c>
      <c r="I24" s="168" t="str">
        <f ca="1">IF(ISERROR($V24),"",OFFSET('Smelter Look-up'!$H$4,$V24-4,0))</f>
        <v>Minato</v>
      </c>
      <c r="J24" s="168" t="str">
        <f ca="1">IF(ISERROR($V24),"",OFFSET('Smelter Look-up'!$I$4,$V24-4,0))</f>
        <v>Tokyo</v>
      </c>
      <c r="K24" s="207"/>
      <c r="L24" s="207"/>
      <c r="M24" s="207"/>
      <c r="N24" s="207"/>
      <c r="O24" s="207"/>
      <c r="P24" s="169"/>
      <c r="Q24" s="208"/>
      <c r="R24" s="166" t="str">
        <f ca="1">IF(ISERROR($V24),"",OFFSET('Smelter Look-up'!$C$4,$V24-4,0)&amp;"")</f>
        <v>Sumitomo Metal Mining Co., Ltd.</v>
      </c>
      <c r="S24" s="165" t="str">
        <f t="shared" ca="1" si="2"/>
        <v>JP</v>
      </c>
      <c r="T24" s="165" t="str">
        <f ca="1">IF(B24="","",IF(ISERROR(MATCH($J24,SorP!$B$1:$B$6261,0)),"",INDIRECT("'SorP'!$A$"&amp;MATCH($S24&amp;$J24,SorP!C:C,0))))</f>
        <v>JP-13</v>
      </c>
      <c r="U24" s="185"/>
      <c r="V24" s="209">
        <f ca="1">IF(C24="",NA(),IF(OR(C24="Smelter not listed",C24="Smelter not yet identified"),MATCH($B24&amp;$D24,'Smelter Look-up'!$J:$J,0),MATCH($B24&amp;$C24,'Smelter Look-up'!$J:$J,0)))</f>
        <v>290</v>
      </c>
      <c r="X24" s="210">
        <f t="shared" ca="1" si="3"/>
        <v>0</v>
      </c>
      <c r="AB24" s="211" t="str">
        <f t="shared" ca="1" si="4"/>
        <v>GoldSumitomo Metal Mining Co., Ltd.</v>
      </c>
    </row>
    <row r="25" spans="1:28" s="210" customFormat="1" ht="20.25">
      <c r="A25" s="165" t="s">
        <v>704</v>
      </c>
      <c r="B25" s="166" t="str">
        <f ca="1">IF(LEN(A25)=0,"",INDEX('Smelter Look-up'!$A:$A,MATCH($A25,'Smelter Look-up'!$E:$E,0)))</f>
        <v>Gold</v>
      </c>
      <c r="C25" s="170" t="str">
        <f ca="1">IF(LEN(A25)=0,"",INDEX('Smelter Look-up'!$C:$C,MATCH($A25,'Smelter Look-up'!$E:$E,0)))</f>
        <v>Tanaka Kikinzoku Kogyo K.K.</v>
      </c>
      <c r="D25" s="213"/>
      <c r="E25" s="166" t="str">
        <f ca="1">IF(ISERROR($V25),"",OFFSET('Smelter Look-up'!$D$4,$V25-4,0)&amp;"")</f>
        <v>JAPAN</v>
      </c>
      <c r="F25" s="166" t="str">
        <f ca="1">IF(ISERROR($V25),"",OFFSET('Smelter Look-up'!$E$4,$V25-4,0))</f>
        <v>CID001875</v>
      </c>
      <c r="G25" s="166" t="str">
        <f ca="1">IF(C25=$X$4,IF(ISERROR($V25),"Enter smelter details","RMI"),IF(ISERROR($V25),"",OFFSET('Smelter Look-up'!$F$4,$V25-4,0)))</f>
        <v>RMI</v>
      </c>
      <c r="H25" s="167">
        <f ca="1">IF(ISERROR($V25),"",OFFSET('Smelter Look-up'!$G$4,$V25-4,0))</f>
        <v>0</v>
      </c>
      <c r="I25" s="168" t="str">
        <f ca="1">IF(ISERROR($V25),"",OFFSET('Smelter Look-up'!$H$4,$V25-4,0))</f>
        <v>Chuo-ko</v>
      </c>
      <c r="J25" s="168" t="str">
        <f ca="1">IF(ISERROR($V25),"",OFFSET('Smelter Look-up'!$I$4,$V25-4,0))</f>
        <v>Tokyo</v>
      </c>
      <c r="K25" s="207"/>
      <c r="L25" s="207"/>
      <c r="M25" s="207"/>
      <c r="N25" s="207"/>
      <c r="O25" s="207"/>
      <c r="P25" s="169"/>
      <c r="Q25" s="208"/>
      <c r="R25" s="166" t="str">
        <f ca="1">IF(ISERROR($V25),"",OFFSET('Smelter Look-up'!$C$4,$V25-4,0)&amp;"")</f>
        <v>Tanaka Kikinzoku Kogyo K.K.</v>
      </c>
      <c r="S25" s="165" t="str">
        <f t="shared" ca="1" si="2"/>
        <v>JP</v>
      </c>
      <c r="T25" s="165" t="str">
        <f ca="1">IF(B25="","",IF(ISERROR(MATCH($J25,SorP!$B$1:$B$6261,0)),"",INDIRECT("'SorP'!$A$"&amp;MATCH($S25&amp;$J25,SorP!C:C,0))))</f>
        <v>JP-13</v>
      </c>
      <c r="U25" s="185"/>
      <c r="V25" s="209">
        <f ca="1">IF(C25="",NA(),IF(OR(C25="Smelter not listed",C25="Smelter not yet identified"),MATCH($B25&amp;$D25,'Smelter Look-up'!$J:$J,0),MATCH($B25&amp;$C25,'Smelter Look-up'!$J:$J,0)))</f>
        <v>303</v>
      </c>
      <c r="X25" s="210">
        <f t="shared" ca="1" si="3"/>
        <v>0</v>
      </c>
      <c r="AB25" s="211" t="str">
        <f t="shared" ca="1" si="4"/>
        <v>GoldTanaka Kikinzoku Kogyo K.K.</v>
      </c>
    </row>
    <row r="26" spans="1:28" s="210" customFormat="1" ht="20.25">
      <c r="A26" s="165" t="s">
        <v>707</v>
      </c>
      <c r="B26" s="166" t="str">
        <f ca="1">IF(LEN(A26)=0,"",INDEX('Smelter Look-up'!$A:$A,MATCH($A26,'Smelter Look-up'!$E:$E,0)))</f>
        <v>Gold</v>
      </c>
      <c r="C26" s="170" t="str">
        <f ca="1">IF(LEN(A26)=0,"",INDEX('Smelter Look-up'!$C:$C,MATCH($A26,'Smelter Look-up'!$E:$E,0)))</f>
        <v>Tokuriki Honten Co., Ltd.</v>
      </c>
      <c r="D26" s="213"/>
      <c r="E26" s="166" t="str">
        <f ca="1">IF(ISERROR($V26),"",OFFSET('Smelter Look-up'!$D$4,$V26-4,0)&amp;"")</f>
        <v>JAPAN</v>
      </c>
      <c r="F26" s="166" t="str">
        <f ca="1">IF(ISERROR($V26),"",OFFSET('Smelter Look-up'!$E$4,$V26-4,0))</f>
        <v>CID001938</v>
      </c>
      <c r="G26" s="166" t="str">
        <f ca="1">IF(C26=$X$4,IF(ISERROR($V26),"Enter smelter details","RMI"),IF(ISERROR($V26),"",OFFSET('Smelter Look-up'!$F$4,$V26-4,0)))</f>
        <v>RMI</v>
      </c>
      <c r="H26" s="167">
        <f ca="1">IF(ISERROR($V26),"",OFFSET('Smelter Look-up'!$G$4,$V26-4,0))</f>
        <v>0</v>
      </c>
      <c r="I26" s="168" t="str">
        <f ca="1">IF(ISERROR($V26),"",OFFSET('Smelter Look-up'!$H$4,$V26-4,0))</f>
        <v>Chiyoda-ku</v>
      </c>
      <c r="J26" s="168" t="str">
        <f ca="1">IF(ISERROR($V26),"",OFFSET('Smelter Look-up'!$I$4,$V26-4,0))</f>
        <v>Tokyo</v>
      </c>
      <c r="K26" s="207"/>
      <c r="L26" s="207"/>
      <c r="M26" s="207"/>
      <c r="N26" s="207"/>
      <c r="O26" s="207"/>
      <c r="P26" s="169"/>
      <c r="Q26" s="208"/>
      <c r="R26" s="166" t="str">
        <f ca="1">IF(ISERROR($V26),"",OFFSET('Smelter Look-up'!$C$4,$V26-4,0)&amp;"")</f>
        <v>Tokuriki Honten Co., Ltd.</v>
      </c>
      <c r="S26" s="165" t="str">
        <f t="shared" ca="1" si="2"/>
        <v>JP</v>
      </c>
      <c r="T26" s="165" t="str">
        <f ca="1">IF(B26="","",IF(ISERROR(MATCH($J26,SorP!$B$1:$B$6261,0)),"",INDIRECT("'SorP'!$A$"&amp;MATCH($S26&amp;$J26,SorP!C:C,0))))</f>
        <v>JP-13</v>
      </c>
      <c r="U26" s="185"/>
      <c r="V26" s="209">
        <f ca="1">IF(C26="",NA(),IF(OR(C26="Smelter not listed",C26="Smelter not yet identified"),MATCH($B26&amp;$D26,'Smelter Look-up'!$J:$J,0),MATCH($B26&amp;$C26,'Smelter Look-up'!$J:$J,0)))</f>
        <v>309</v>
      </c>
      <c r="X26" s="210">
        <f t="shared" ca="1" si="3"/>
        <v>0</v>
      </c>
      <c r="AB26" s="211" t="str">
        <f t="shared" ca="1" si="4"/>
        <v>GoldTokuriki Honten Co., Ltd.</v>
      </c>
    </row>
    <row r="27" spans="1:28" s="210" customFormat="1" ht="20.25">
      <c r="A27" s="165" t="s">
        <v>2110</v>
      </c>
      <c r="B27" s="166" t="str">
        <f ca="1">IF(LEN(A27)=0,"",INDEX('Smelter Look-up'!$A:$A,MATCH($A27,'Smelter Look-up'!$E:$E,0)))</f>
        <v>Gold</v>
      </c>
      <c r="C27" s="170" t="str">
        <f ca="1">IF(LEN(A27)=0,"",INDEX('Smelter Look-up'!$C:$C,MATCH($A27,'Smelter Look-up'!$E:$E,0)))</f>
        <v>WIELAND Edelmetalle GmbH</v>
      </c>
      <c r="D27" s="213"/>
      <c r="E27" s="166" t="str">
        <f ca="1">IF(ISERROR($V27),"",OFFSET('Smelter Look-up'!$D$4,$V27-4,0)&amp;"")</f>
        <v>GERMANY</v>
      </c>
      <c r="F27" s="166" t="str">
        <f ca="1">IF(ISERROR($V27),"",OFFSET('Smelter Look-up'!$E$4,$V27-4,0))</f>
        <v>CID002778</v>
      </c>
      <c r="G27" s="166" t="str">
        <f ca="1">IF(C27=$X$4,IF(ISERROR($V27),"Enter smelter details","RMI"),IF(ISERROR($V27),"",OFFSET('Smelter Look-up'!$F$4,$V27-4,0)))</f>
        <v>RMI</v>
      </c>
      <c r="H27" s="167">
        <f ca="1">IF(ISERROR($V27),"",OFFSET('Smelter Look-up'!$G$4,$V27-4,0))</f>
        <v>0</v>
      </c>
      <c r="I27" s="168" t="str">
        <f ca="1">IF(ISERROR($V27),"",OFFSET('Smelter Look-up'!$H$4,$V27-4,0))</f>
        <v>Pforzheim</v>
      </c>
      <c r="J27" s="168" t="str">
        <f ca="1">IF(ISERROR($V27),"",OFFSET('Smelter Look-up'!$I$4,$V27-4,0))</f>
        <v>Baden-Württemberg</v>
      </c>
      <c r="K27" s="207"/>
      <c r="L27" s="207"/>
      <c r="M27" s="207"/>
      <c r="N27" s="207"/>
      <c r="O27" s="207"/>
      <c r="P27" s="169"/>
      <c r="Q27" s="208"/>
      <c r="R27" s="166" t="str">
        <f ca="1">IF(ISERROR($V27),"",OFFSET('Smelter Look-up'!$C$4,$V27-4,0)&amp;"")</f>
        <v>WIELAND Edelmetalle GmbH</v>
      </c>
      <c r="S27" s="165" t="str">
        <f t="shared" ca="1" si="2"/>
        <v>DE</v>
      </c>
      <c r="T27" s="165" t="str">
        <f ca="1">IF(B27="","",IF(ISERROR(MATCH($J27,SorP!$B$1:$B$6261,0)),"",INDIRECT("'SorP'!$A$"&amp;MATCH($S27&amp;$J27,SorP!C:C,0))))</f>
        <v>DE-BW</v>
      </c>
      <c r="U27" s="185"/>
      <c r="V27" s="209">
        <f ca="1">IF(C27="",NA(),IF(OR(C27="Smelter not listed",C27="Smelter not yet identified"),MATCH($B27&amp;$D27,'Smelter Look-up'!$J:$J,0),MATCH($B27&amp;$C27,'Smelter Look-up'!$J:$J,0)))</f>
        <v>325</v>
      </c>
      <c r="X27" s="210">
        <f t="shared" ca="1" si="3"/>
        <v>0</v>
      </c>
      <c r="AB27" s="211" t="str">
        <f t="shared" ca="1" si="4"/>
        <v>GoldWIELAND Edelmetalle GmbH</v>
      </c>
    </row>
    <row r="28" spans="1:28" s="210" customFormat="1" ht="20.25">
      <c r="A28" s="165" t="s">
        <v>735</v>
      </c>
      <c r="B28" s="166" t="str">
        <f ca="1">IF(LEN(A28)=0,"",INDEX('Smelter Look-up'!$A:$A,MATCH($A28,'Smelter Look-up'!$E:$E,0)))</f>
        <v>Tin</v>
      </c>
      <c r="C28" s="170" t="str">
        <f ca="1">IF(LEN(A28)=0,"",INDEX('Smelter Look-up'!$C:$C,MATCH($A28,'Smelter Look-up'!$E:$E,0)))</f>
        <v>Alpha Assembly Solutions Inc</v>
      </c>
      <c r="D28" s="213"/>
      <c r="E28" s="166" t="str">
        <f ca="1">IF(ISERROR($V28),"",OFFSET('Smelter Look-up'!$D$4,$V28-4,0)&amp;"")</f>
        <v>UNITED STATES OF AMERICA</v>
      </c>
      <c r="F28" s="166" t="str">
        <f ca="1">IF(ISERROR($V28),"",OFFSET('Smelter Look-up'!$E$4,$V28-4,0))</f>
        <v>CID000292</v>
      </c>
      <c r="G28" s="166" t="str">
        <f ca="1">IF(C28=$X$4,IF(ISERROR($V28),"Enter smelter details","RMI"),IF(ISERROR($V28),"",OFFSET('Smelter Look-up'!$F$4,$V28-4,0)))</f>
        <v>RMI</v>
      </c>
      <c r="H28" s="167">
        <f ca="1">IF(ISERROR($V28),"",OFFSET('Smelter Look-up'!$G$4,$V28-4,0))</f>
        <v>0</v>
      </c>
      <c r="I28" s="168" t="str">
        <f ca="1">IF(ISERROR($V28),"",OFFSET('Smelter Look-up'!$H$4,$V28-4,0))</f>
        <v>Altoona</v>
      </c>
      <c r="J28" s="168" t="str">
        <f ca="1">IF(ISERROR($V28),"",OFFSET('Smelter Look-up'!$I$4,$V28-4,0))</f>
        <v>Pennsylvania</v>
      </c>
      <c r="K28" s="207"/>
      <c r="L28" s="207"/>
      <c r="M28" s="207"/>
      <c r="N28" s="207"/>
      <c r="O28" s="207"/>
      <c r="P28" s="169"/>
      <c r="Q28" s="208"/>
      <c r="R28" s="166" t="str">
        <f ca="1">IF(ISERROR($V28),"",OFFSET('Smelter Look-up'!$C$4,$V28-4,0)&amp;"")</f>
        <v>Alpha Assembly Solutions Inc</v>
      </c>
      <c r="S28" s="165" t="str">
        <f t="shared" ca="1" si="2"/>
        <v>US</v>
      </c>
      <c r="T28" s="165" t="str">
        <f ca="1">IF(B28="","",IF(ISERROR(MATCH($J28,SorP!$B$1:$B$6261,0)),"",INDIRECT("'SorP'!$A$"&amp;MATCH($S28&amp;$J28,SorP!C:C,0))))</f>
        <v>US-PA</v>
      </c>
      <c r="U28" s="185"/>
      <c r="V28" s="209">
        <f ca="1">IF(C28="",NA(),IF(OR(C28="Smelter not listed",C28="Smelter not yet identified"),MATCH($B28&amp;$D28,'Smelter Look-up'!$J:$J,0),MATCH($B28&amp;$C28,'Smelter Look-up'!$J:$J,0)))</f>
        <v>418</v>
      </c>
      <c r="X28" s="210">
        <f t="shared" ca="1" si="3"/>
        <v>0</v>
      </c>
      <c r="AB28" s="211" t="str">
        <f t="shared" ca="1" si="4"/>
        <v>TinAlpha Assembly Solutions Inc</v>
      </c>
    </row>
    <row r="29" spans="1:28" s="210" customFormat="1" ht="20.25">
      <c r="A29" s="165" t="s">
        <v>14902</v>
      </c>
      <c r="B29" s="166" t="str">
        <f ca="1">IF(LEN(A29)=0,"",INDEX('Smelter Look-up'!$A:$A,MATCH($A29,'Smelter Look-up'!$E:$E,0)))</f>
        <v>Tin</v>
      </c>
      <c r="C29" s="170" t="str">
        <f ca="1">IF(LEN(A29)=0,"",INDEX('Smelter Look-up'!$C:$C,MATCH($A29,'Smelter Look-up'!$E:$E,0)))</f>
        <v>PT Premium Tin Indonesia</v>
      </c>
      <c r="D29" s="213"/>
      <c r="E29" s="166" t="str">
        <f ca="1">IF(ISERROR($V29),"",OFFSET('Smelter Look-up'!$D$4,$V29-4,0)&amp;"")</f>
        <v>INDONESIA</v>
      </c>
      <c r="F29" s="166" t="str">
        <f ca="1">IF(ISERROR($V29),"",OFFSET('Smelter Look-up'!$E$4,$V29-4,0))</f>
        <v>CID000313</v>
      </c>
      <c r="G29" s="166" t="str">
        <f ca="1">IF(C29=$X$4,IF(ISERROR($V29),"Enter smelter details","RMI"),IF(ISERROR($V29),"",OFFSET('Smelter Look-up'!$F$4,$V29-4,0)))</f>
        <v>RMI</v>
      </c>
      <c r="H29" s="167">
        <f ca="1">IF(ISERROR($V29),"",OFFSET('Smelter Look-up'!$G$4,$V29-4,0))</f>
        <v>0</v>
      </c>
      <c r="I29" s="168" t="str">
        <f ca="1">IF(ISERROR($V29),"",OFFSET('Smelter Look-up'!$H$4,$V29-4,0))</f>
        <v>Pangkalan Baru</v>
      </c>
      <c r="J29" s="168" t="str">
        <f ca="1">IF(ISERROR($V29),"",OFFSET('Smelter Look-up'!$I$4,$V29-4,0))</f>
        <v>Kepulauan Bangka Belitung</v>
      </c>
      <c r="K29" s="207"/>
      <c r="L29" s="207"/>
      <c r="M29" s="207"/>
      <c r="N29" s="207"/>
      <c r="O29" s="207"/>
      <c r="P29" s="169"/>
      <c r="Q29" s="208"/>
      <c r="R29" s="166" t="str">
        <f ca="1">IF(ISERROR($V29),"",OFFSET('Smelter Look-up'!$C$4,$V29-4,0)&amp;"")</f>
        <v>PT Premium Tin Indonesia</v>
      </c>
      <c r="S29" s="165" t="str">
        <f t="shared" ca="1" si="2"/>
        <v>ID</v>
      </c>
      <c r="T29" s="165" t="str">
        <f ca="1">IF(B29="","",IF(ISERROR(MATCH($J29,SorP!$B$1:$B$6261,0)),"",INDIRECT("'SorP'!$A$"&amp;MATCH($S29&amp;$J29,SorP!C:C,0))))</f>
        <v>ID-BB</v>
      </c>
      <c r="U29" s="185"/>
      <c r="V29" s="209">
        <f ca="1">IF(C29="",NA(),IF(OR(C29="Smelter not listed",C29="Smelter not yet identified"),MATCH($B29&amp;$D29,'Smelter Look-up'!$J:$J,0),MATCH($B29&amp;$C29,'Smelter Look-up'!$J:$J,0)))</f>
        <v>526</v>
      </c>
      <c r="X29" s="210">
        <f t="shared" ca="1" si="3"/>
        <v>0</v>
      </c>
      <c r="AB29" s="211" t="str">
        <f t="shared" ca="1" si="4"/>
        <v>TinPT Premium Tin Indonesia</v>
      </c>
    </row>
    <row r="30" spans="1:28" s="210" customFormat="1" ht="20.25">
      <c r="A30" s="165" t="s">
        <v>736</v>
      </c>
      <c r="B30" s="166" t="str">
        <f ca="1">IF(LEN(A30)=0,"",INDEX('Smelter Look-up'!$A:$A,MATCH($A30,'Smelter Look-up'!$E:$E,0)))</f>
        <v>Tin</v>
      </c>
      <c r="C30" s="170" t="str">
        <f ca="1">IF(LEN(A30)=0,"",INDEX('Smelter Look-up'!$C:$C,MATCH($A30,'Smelter Look-up'!$E:$E,0)))</f>
        <v>EM Vinto</v>
      </c>
      <c r="D30" s="213"/>
      <c r="E30" s="166" t="str">
        <f ca="1">IF(ISERROR($V30),"",OFFSET('Smelter Look-up'!$D$4,$V30-4,0)&amp;"")</f>
        <v>BOLIVIA (PLURINATIONAL STATE OF)</v>
      </c>
      <c r="F30" s="166" t="str">
        <f ca="1">IF(ISERROR($V30),"",OFFSET('Smelter Look-up'!$E$4,$V30-4,0))</f>
        <v>CID000438</v>
      </c>
      <c r="G30" s="166" t="str">
        <f ca="1">IF(C30=$X$4,IF(ISERROR($V30),"Enter smelter details","RMI"),IF(ISERROR($V30),"",OFFSET('Smelter Look-up'!$F$4,$V30-4,0)))</f>
        <v>RMI</v>
      </c>
      <c r="H30" s="167">
        <f ca="1">IF(ISERROR($V30),"",OFFSET('Smelter Look-up'!$G$4,$V30-4,0))</f>
        <v>0</v>
      </c>
      <c r="I30" s="168" t="str">
        <f ca="1">IF(ISERROR($V30),"",OFFSET('Smelter Look-up'!$H$4,$V30-4,0))</f>
        <v>Oruro</v>
      </c>
      <c r="J30" s="168" t="str">
        <f ca="1">IF(ISERROR($V30),"",OFFSET('Smelter Look-up'!$I$4,$V30-4,0))</f>
        <v>Oruro</v>
      </c>
      <c r="K30" s="207"/>
      <c r="L30" s="207"/>
      <c r="M30" s="207"/>
      <c r="N30" s="207"/>
      <c r="O30" s="207"/>
      <c r="P30" s="169"/>
      <c r="Q30" s="208"/>
      <c r="R30" s="166" t="str">
        <f ca="1">IF(ISERROR($V30),"",OFFSET('Smelter Look-up'!$C$4,$V30-4,0)&amp;"")</f>
        <v>EM Vinto</v>
      </c>
      <c r="S30" s="165" t="str">
        <f t="shared" ca="1" si="2"/>
        <v>Unknown</v>
      </c>
      <c r="T30" s="165" t="e">
        <f ca="1">IF(B30="","",IF(ISERROR(MATCH($J30,SorP!$B$1:$B$6261,0)),"",INDIRECT("'SorP'!$A$"&amp;MATCH($S30&amp;$J30,SorP!C:C,0))))</f>
        <v>#N/A</v>
      </c>
      <c r="U30" s="185"/>
      <c r="V30" s="209">
        <f ca="1">IF(C30="",NA(),IF(OR(C30="Smelter not listed",C30="Smelter not yet identified"),MATCH($B30&amp;$D30,'Smelter Look-up'!$J:$J,0),MATCH($B30&amp;$C30,'Smelter Look-up'!$J:$J,0)))</f>
        <v>453</v>
      </c>
      <c r="X30" s="210">
        <f t="shared" ca="1" si="3"/>
        <v>0</v>
      </c>
      <c r="AB30" s="211" t="str">
        <f t="shared" ca="1" si="4"/>
        <v>TinEM Vinto</v>
      </c>
    </row>
    <row r="31" spans="1:28" s="210" customFormat="1" ht="20.25">
      <c r="A31" s="165" t="s">
        <v>738</v>
      </c>
      <c r="B31" s="166" t="str">
        <f ca="1">IF(LEN(A31)=0,"",INDEX('Smelter Look-up'!$A:$A,MATCH($A31,'Smelter Look-up'!$E:$E,0)))</f>
        <v>Tin</v>
      </c>
      <c r="C31" s="170" t="str">
        <f ca="1">IF(LEN(A31)=0,"",INDEX('Smelter Look-up'!$C:$C,MATCH($A31,'Smelter Look-up'!$E:$E,0)))</f>
        <v>Fenix Metals</v>
      </c>
      <c r="D31" s="213"/>
      <c r="E31" s="166" t="str">
        <f ca="1">IF(ISERROR($V31),"",OFFSET('Smelter Look-up'!$D$4,$V31-4,0)&amp;"")</f>
        <v>POLAND</v>
      </c>
      <c r="F31" s="166" t="str">
        <f ca="1">IF(ISERROR($V31),"",OFFSET('Smelter Look-up'!$E$4,$V31-4,0))</f>
        <v>CID000468</v>
      </c>
      <c r="G31" s="166" t="str">
        <f ca="1">IF(C31=$X$4,IF(ISERROR($V31),"Enter smelter details","RMI"),IF(ISERROR($V31),"",OFFSET('Smelter Look-up'!$F$4,$V31-4,0)))</f>
        <v>RMI</v>
      </c>
      <c r="H31" s="167">
        <f ca="1">IF(ISERROR($V31),"",OFFSET('Smelter Look-up'!$G$4,$V31-4,0))</f>
        <v>0</v>
      </c>
      <c r="I31" s="168" t="str">
        <f ca="1">IF(ISERROR($V31),"",OFFSET('Smelter Look-up'!$H$4,$V31-4,0))</f>
        <v>Chmielów</v>
      </c>
      <c r="J31" s="168" t="str">
        <f ca="1">IF(ISERROR($V31),"",OFFSET('Smelter Look-up'!$I$4,$V31-4,0))</f>
        <v>Podkarpackie</v>
      </c>
      <c r="K31" s="207"/>
      <c r="L31" s="207"/>
      <c r="M31" s="207"/>
      <c r="N31" s="207"/>
      <c r="O31" s="207"/>
      <c r="P31" s="169"/>
      <c r="Q31" s="208"/>
      <c r="R31" s="166" t="str">
        <f ca="1">IF(ISERROR($V31),"",OFFSET('Smelter Look-up'!$C$4,$V31-4,0)&amp;"")</f>
        <v>Fenix Metals</v>
      </c>
      <c r="S31" s="165" t="str">
        <f t="shared" ca="1" si="2"/>
        <v>PL</v>
      </c>
      <c r="T31" s="165" t="str">
        <f ca="1">IF(B31="","",IF(ISERROR(MATCH($J31,SorP!$B$1:$B$6261,0)),"",INDIRECT("'SorP'!$A$"&amp;MATCH($S31&amp;$J31,SorP!C:C,0))))</f>
        <v>PL-18</v>
      </c>
      <c r="U31" s="185"/>
      <c r="V31" s="209">
        <f ca="1">IF(C31="",NA(),IF(OR(C31="Smelter not listed",C31="Smelter not yet identified"),MATCH($B31&amp;$D31,'Smelter Look-up'!$J:$J,0),MATCH($B31&amp;$C31,'Smelter Look-up'!$J:$J,0)))</f>
        <v>462</v>
      </c>
      <c r="X31" s="210">
        <f t="shared" ca="1" si="3"/>
        <v>0</v>
      </c>
      <c r="AB31" s="211" t="str">
        <f t="shared" ca="1" si="4"/>
        <v>TinFenix Metals</v>
      </c>
    </row>
    <row r="32" spans="1:28" s="210" customFormat="1" ht="20.25">
      <c r="A32" s="165" t="s">
        <v>744</v>
      </c>
      <c r="B32" s="166" t="str">
        <f ca="1">IF(LEN(A32)=0,"",INDEX('Smelter Look-up'!$A:$A,MATCH($A32,'Smelter Look-up'!$E:$E,0)))</f>
        <v>Tin</v>
      </c>
      <c r="C32" s="170" t="str">
        <f ca="1">IF(LEN(A32)=0,"",INDEX('Smelter Look-up'!$C:$C,MATCH($A32,'Smelter Look-up'!$E:$E,0)))</f>
        <v>Minsur</v>
      </c>
      <c r="D32" s="213"/>
      <c r="E32" s="166" t="str">
        <f ca="1">IF(ISERROR($V32),"",OFFSET('Smelter Look-up'!$D$4,$V32-4,0)&amp;"")</f>
        <v>PERU</v>
      </c>
      <c r="F32" s="166" t="str">
        <f ca="1">IF(ISERROR($V32),"",OFFSET('Smelter Look-up'!$E$4,$V32-4,0))</f>
        <v>CID001182</v>
      </c>
      <c r="G32" s="166" t="str">
        <f ca="1">IF(C32=$X$4,IF(ISERROR($V32),"Enter smelter details","RMI"),IF(ISERROR($V32),"",OFFSET('Smelter Look-up'!$F$4,$V32-4,0)))</f>
        <v>RMI</v>
      </c>
      <c r="H32" s="167">
        <f ca="1">IF(ISERROR($V32),"",OFFSET('Smelter Look-up'!$G$4,$V32-4,0))</f>
        <v>0</v>
      </c>
      <c r="I32" s="168" t="str">
        <f ca="1">IF(ISERROR($V32),"",OFFSET('Smelter Look-up'!$H$4,$V32-4,0))</f>
        <v>Paracas</v>
      </c>
      <c r="J32" s="168" t="str">
        <f ca="1">IF(ISERROR($V32),"",OFFSET('Smelter Look-up'!$I$4,$V32-4,0))</f>
        <v>Ika</v>
      </c>
      <c r="K32" s="207"/>
      <c r="L32" s="207"/>
      <c r="M32" s="207"/>
      <c r="N32" s="207"/>
      <c r="O32" s="207"/>
      <c r="P32" s="169"/>
      <c r="Q32" s="208"/>
      <c r="R32" s="166" t="str">
        <f ca="1">IF(ISERROR($V32),"",OFFSET('Smelter Look-up'!$C$4,$V32-4,0)&amp;"")</f>
        <v>Minsur</v>
      </c>
      <c r="S32" s="165" t="str">
        <f t="shared" ca="1" si="2"/>
        <v>PE</v>
      </c>
      <c r="T32" s="165" t="str">
        <f ca="1">IF(B32="","",IF(ISERROR(MATCH($J32,SorP!$B$1:$B$6261,0)),"",INDIRECT("'SorP'!$A$"&amp;MATCH($S32&amp;$J32,SorP!C:C,0))))</f>
        <v>PE-ICA</v>
      </c>
      <c r="U32" s="185"/>
      <c r="V32" s="209">
        <f ca="1">IF(C32="",NA(),IF(OR(C32="Smelter not listed",C32="Smelter not yet identified"),MATCH($B32&amp;$D32,'Smelter Look-up'!$J:$J,0),MATCH($B32&amp;$C32,'Smelter Look-up'!$J:$J,0)))</f>
        <v>503</v>
      </c>
      <c r="X32" s="210">
        <f t="shared" ca="1" si="3"/>
        <v>0</v>
      </c>
      <c r="AB32" s="211" t="str">
        <f t="shared" ca="1" si="4"/>
        <v>TinMinsur</v>
      </c>
    </row>
    <row r="33" spans="1:28" s="210" customFormat="1" ht="20.25">
      <c r="A33" s="165" t="s">
        <v>745</v>
      </c>
      <c r="B33" s="166" t="str">
        <f ca="1">IF(LEN(A33)=0,"",INDEX('Smelter Look-up'!$A:$A,MATCH($A33,'Smelter Look-up'!$E:$E,0)))</f>
        <v>Tin</v>
      </c>
      <c r="C33" s="170" t="str">
        <f ca="1">IF(LEN(A33)=0,"",INDEX('Smelter Look-up'!$C:$C,MATCH($A33,'Smelter Look-up'!$E:$E,0)))</f>
        <v>Mitsubishi Materials Corporation</v>
      </c>
      <c r="D33" s="213"/>
      <c r="E33" s="166" t="str">
        <f ca="1">IF(ISERROR($V33),"",OFFSET('Smelter Look-up'!$D$4,$V33-4,0)&amp;"")</f>
        <v>JAPAN</v>
      </c>
      <c r="F33" s="166" t="str">
        <f ca="1">IF(ISERROR($V33),"",OFFSET('Smelter Look-up'!$E$4,$V33-4,0))</f>
        <v>CID001191</v>
      </c>
      <c r="G33" s="166" t="str">
        <f ca="1">IF(C33=$X$4,IF(ISERROR($V33),"Enter smelter details","RMI"),IF(ISERROR($V33),"",OFFSET('Smelter Look-up'!$F$4,$V33-4,0)))</f>
        <v>RMI</v>
      </c>
      <c r="H33" s="167">
        <f ca="1">IF(ISERROR($V33),"",OFFSET('Smelter Look-up'!$G$4,$V33-4,0))</f>
        <v>0</v>
      </c>
      <c r="I33" s="168" t="str">
        <f ca="1">IF(ISERROR($V33),"",OFFSET('Smelter Look-up'!$H$4,$V33-4,0))</f>
        <v>Asago</v>
      </c>
      <c r="J33" s="168" t="str">
        <f ca="1">IF(ISERROR($V33),"",OFFSET('Smelter Look-up'!$I$4,$V33-4,0))</f>
        <v>Hyôgo</v>
      </c>
      <c r="K33" s="207"/>
      <c r="L33" s="207"/>
      <c r="M33" s="207"/>
      <c r="N33" s="207"/>
      <c r="O33" s="207"/>
      <c r="P33" s="169"/>
      <c r="Q33" s="208"/>
      <c r="R33" s="166" t="str">
        <f ca="1">IF(ISERROR($V33),"",OFFSET('Smelter Look-up'!$C$4,$V33-4,0)&amp;"")</f>
        <v>Mitsubishi Materials Corporation</v>
      </c>
      <c r="S33" s="165" t="str">
        <f t="shared" ca="1" si="2"/>
        <v>JP</v>
      </c>
      <c r="T33" s="165" t="str">
        <f ca="1">IF(B33="","",IF(ISERROR(MATCH($J33,SorP!$B$1:$B$6261,0)),"",INDIRECT("'SorP'!$A$"&amp;MATCH($S33&amp;$J33,SorP!C:C,0))))</f>
        <v>JP-28</v>
      </c>
      <c r="U33" s="185"/>
      <c r="V33" s="209">
        <f ca="1">IF(C33="",NA(),IF(OR(C33="Smelter not listed",C33="Smelter not yet identified"),MATCH($B33&amp;$D33,'Smelter Look-up'!$J:$J,0),MATCH($B33&amp;$C33,'Smelter Look-up'!$J:$J,0)))</f>
        <v>504</v>
      </c>
      <c r="X33" s="210">
        <f t="shared" ca="1" si="3"/>
        <v>0</v>
      </c>
      <c r="AB33" s="211" t="str">
        <f t="shared" ca="1" si="4"/>
        <v>TinMitsubishi Materials Corporation</v>
      </c>
    </row>
    <row r="34" spans="1:28" s="210" customFormat="1" ht="20.25">
      <c r="A34" s="165" t="s">
        <v>748</v>
      </c>
      <c r="B34" s="166" t="str">
        <f ca="1">IF(LEN(A34)=0,"",INDEX('Smelter Look-up'!$A:$A,MATCH($A34,'Smelter Look-up'!$E:$E,0)))</f>
        <v>Tin</v>
      </c>
      <c r="C34" s="170" t="str">
        <f ca="1">IF(LEN(A34)=0,"",INDEX('Smelter Look-up'!$C:$C,MATCH($A34,'Smelter Look-up'!$E:$E,0)))</f>
        <v>Operaciones Metalurgicas S.A.</v>
      </c>
      <c r="D34" s="213"/>
      <c r="E34" s="166" t="str">
        <f ca="1">IF(ISERROR($V34),"",OFFSET('Smelter Look-up'!$D$4,$V34-4,0)&amp;"")</f>
        <v>BOLIVIA (PLURINATIONAL STATE OF)</v>
      </c>
      <c r="F34" s="166" t="str">
        <f ca="1">IF(ISERROR($V34),"",OFFSET('Smelter Look-up'!$E$4,$V34-4,0))</f>
        <v>CID001337</v>
      </c>
      <c r="G34" s="166" t="str">
        <f ca="1">IF(C34=$X$4,IF(ISERROR($V34),"Enter smelter details","RMI"),IF(ISERROR($V34),"",OFFSET('Smelter Look-up'!$F$4,$V34-4,0)))</f>
        <v>RMI</v>
      </c>
      <c r="H34" s="167">
        <f ca="1">IF(ISERROR($V34),"",OFFSET('Smelter Look-up'!$G$4,$V34-4,0))</f>
        <v>0</v>
      </c>
      <c r="I34" s="168" t="str">
        <f ca="1">IF(ISERROR($V34),"",OFFSET('Smelter Look-up'!$H$4,$V34-4,0))</f>
        <v>Oruro</v>
      </c>
      <c r="J34" s="168" t="str">
        <f ca="1">IF(ISERROR($V34),"",OFFSET('Smelter Look-up'!$I$4,$V34-4,0))</f>
        <v>Oruro</v>
      </c>
      <c r="K34" s="207"/>
      <c r="L34" s="207"/>
      <c r="M34" s="207"/>
      <c r="N34" s="207"/>
      <c r="O34" s="207"/>
      <c r="P34" s="169"/>
      <c r="Q34" s="208"/>
      <c r="R34" s="166" t="str">
        <f ca="1">IF(ISERROR($V34),"",OFFSET('Smelter Look-up'!$C$4,$V34-4,0)&amp;"")</f>
        <v>Operaciones Metalurgicas S.A.</v>
      </c>
      <c r="S34" s="165" t="str">
        <f t="shared" ca="1" si="2"/>
        <v>Unknown</v>
      </c>
      <c r="T34" s="165" t="e">
        <f ca="1">IF(B34="","",IF(ISERROR(MATCH($J34,SorP!$B$1:$B$6261,0)),"",INDIRECT("'SorP'!$A$"&amp;MATCH($S34&amp;$J34,SorP!C:C,0))))</f>
        <v>#N/A</v>
      </c>
      <c r="U34" s="185"/>
      <c r="V34" s="209">
        <f ca="1">IF(C34="",NA(),IF(OR(C34="Smelter not listed",C34="Smelter not yet identified"),MATCH($B34&amp;$D34,'Smelter Look-up'!$J:$J,0),MATCH($B34&amp;$C34,'Smelter Look-up'!$J:$J,0)))</f>
        <v>514</v>
      </c>
      <c r="X34" s="210">
        <f t="shared" ca="1" si="3"/>
        <v>0</v>
      </c>
      <c r="AB34" s="211" t="str">
        <f t="shared" ca="1" si="4"/>
        <v>TinOperaciones Metalurgicas S.A.</v>
      </c>
    </row>
    <row r="35" spans="1:28" s="210" customFormat="1" ht="20.25">
      <c r="A35" s="165" t="s">
        <v>749</v>
      </c>
      <c r="B35" s="166" t="str">
        <f ca="1">IF(LEN(A35)=0,"",INDEX('Smelter Look-up'!$A:$A,MATCH($A35,'Smelter Look-up'!$E:$E,0)))</f>
        <v>Tin</v>
      </c>
      <c r="C35" s="170" t="str">
        <f ca="1">IF(LEN(A35)=0,"",INDEX('Smelter Look-up'!$C:$C,MATCH($A35,'Smelter Look-up'!$E:$E,0)))</f>
        <v>PT Mitra Stania Prima</v>
      </c>
      <c r="D35" s="213"/>
      <c r="E35" s="166" t="str">
        <f ca="1">IF(ISERROR($V35),"",OFFSET('Smelter Look-up'!$D$4,$V35-4,0)&amp;"")</f>
        <v>INDONESIA</v>
      </c>
      <c r="F35" s="166" t="str">
        <f ca="1">IF(ISERROR($V35),"",OFFSET('Smelter Look-up'!$E$4,$V35-4,0))</f>
        <v>CID001453</v>
      </c>
      <c r="G35" s="166" t="str">
        <f ca="1">IF(C35=$X$4,IF(ISERROR($V35),"Enter smelter details","RMI"),IF(ISERROR($V35),"",OFFSET('Smelter Look-up'!$F$4,$V35-4,0)))</f>
        <v>RMI</v>
      </c>
      <c r="H35" s="167">
        <f ca="1">IF(ISERROR($V35),"",OFFSET('Smelter Look-up'!$G$4,$V35-4,0))</f>
        <v>0</v>
      </c>
      <c r="I35" s="168" t="str">
        <f ca="1">IF(ISERROR($V35),"",OFFSET('Smelter Look-up'!$H$4,$V35-4,0))</f>
        <v>Sungailiat</v>
      </c>
      <c r="J35" s="168" t="str">
        <f ca="1">IF(ISERROR($V35),"",OFFSET('Smelter Look-up'!$I$4,$V35-4,0))</f>
        <v>Kepulauan Bangka Belitung</v>
      </c>
      <c r="K35" s="207"/>
      <c r="L35" s="207"/>
      <c r="M35" s="207"/>
      <c r="N35" s="207"/>
      <c r="O35" s="207"/>
      <c r="P35" s="169"/>
      <c r="Q35" s="208"/>
      <c r="R35" s="166" t="str">
        <f ca="1">IF(ISERROR($V35),"",OFFSET('Smelter Look-up'!$C$4,$V35-4,0)&amp;"")</f>
        <v>PT Mitra Stania Prima</v>
      </c>
      <c r="S35" s="165" t="str">
        <f t="shared" ca="1" si="2"/>
        <v>ID</v>
      </c>
      <c r="T35" s="165" t="str">
        <f ca="1">IF(B35="","",IF(ISERROR(MATCH($J35,SorP!$B$1:$B$6261,0)),"",INDIRECT("'SorP'!$A$"&amp;MATCH($S35&amp;$J35,SorP!C:C,0))))</f>
        <v>ID-BB</v>
      </c>
      <c r="U35" s="185"/>
      <c r="V35" s="209">
        <f ca="1">IF(C35="",NA(),IF(OR(C35="Smelter not listed",C35="Smelter not yet identified"),MATCH($B35&amp;$D35,'Smelter Look-up'!$J:$J,0),MATCH($B35&amp;$C35,'Smelter Look-up'!$J:$J,0)))</f>
        <v>524</v>
      </c>
      <c r="X35" s="210">
        <f t="shared" ca="1" si="3"/>
        <v>0</v>
      </c>
      <c r="AB35" s="211" t="str">
        <f t="shared" ca="1" si="4"/>
        <v>TinPT Mitra Stania Prima</v>
      </c>
    </row>
    <row r="36" spans="1:28" s="210" customFormat="1" ht="20.25">
      <c r="A36" s="165" t="s">
        <v>767</v>
      </c>
      <c r="B36" s="166" t="str">
        <f ca="1">IF(LEN(A36)=0,"",INDEX('Smelter Look-up'!$A:$A,MATCH($A36,'Smelter Look-up'!$E:$E,0)))</f>
        <v>Tin</v>
      </c>
      <c r="C36" s="170" t="str">
        <f ca="1">IF(LEN(A36)=0,"",INDEX('Smelter Look-up'!$C:$C,MATCH($A36,'Smelter Look-up'!$E:$E,0)))</f>
        <v>PT Timah Tbk Kundur</v>
      </c>
      <c r="D36" s="213"/>
      <c r="E36" s="166" t="str">
        <f ca="1">IF(ISERROR($V36),"",OFFSET('Smelter Look-up'!$D$4,$V36-4,0)&amp;"")</f>
        <v>INDONESIA</v>
      </c>
      <c r="F36" s="166" t="str">
        <f ca="1">IF(ISERROR($V36),"",OFFSET('Smelter Look-up'!$E$4,$V36-4,0))</f>
        <v>CID001477</v>
      </c>
      <c r="G36" s="166" t="str">
        <f ca="1">IF(C36=$X$4,IF(ISERROR($V36),"Enter smelter details","RMI"),IF(ISERROR($V36),"",OFFSET('Smelter Look-up'!$F$4,$V36-4,0)))</f>
        <v>RMI</v>
      </c>
      <c r="H36" s="167">
        <f ca="1">IF(ISERROR($V36),"",OFFSET('Smelter Look-up'!$G$4,$V36-4,0))</f>
        <v>0</v>
      </c>
      <c r="I36" s="168" t="str">
        <f ca="1">IF(ISERROR($V36),"",OFFSET('Smelter Look-up'!$H$4,$V36-4,0))</f>
        <v>Kundur</v>
      </c>
      <c r="J36" s="168" t="str">
        <f ca="1">IF(ISERROR($V36),"",OFFSET('Smelter Look-up'!$I$4,$V36-4,0))</f>
        <v>Riau</v>
      </c>
      <c r="K36" s="207"/>
      <c r="L36" s="207"/>
      <c r="M36" s="207"/>
      <c r="N36" s="207"/>
      <c r="O36" s="207"/>
      <c r="P36" s="169"/>
      <c r="Q36" s="208"/>
      <c r="R36" s="166" t="str">
        <f ca="1">IF(ISERROR($V36),"",OFFSET('Smelter Look-up'!$C$4,$V36-4,0)&amp;"")</f>
        <v>PT Timah Tbk Kundur</v>
      </c>
      <c r="S36" s="165" t="str">
        <f t="shared" ca="1" si="2"/>
        <v>ID</v>
      </c>
      <c r="T36" s="165" t="str">
        <f ca="1">IF(B36="","",IF(ISERROR(MATCH($J36,SorP!$B$1:$B$6261,0)),"",INDIRECT("'SorP'!$A$"&amp;MATCH($S36&amp;$J36,SorP!C:C,0))))</f>
        <v>ID-RI</v>
      </c>
      <c r="U36" s="185"/>
      <c r="V36" s="209">
        <f ca="1">IF(C36="",NA(),IF(OR(C36="Smelter not listed",C36="Smelter not yet identified"),MATCH($B36&amp;$D36,'Smelter Look-up'!$J:$J,0),MATCH($B36&amp;$C36,'Smelter Look-up'!$J:$J,0)))</f>
        <v>531</v>
      </c>
      <c r="X36" s="210">
        <f t="shared" ca="1" si="3"/>
        <v>0</v>
      </c>
      <c r="AB36" s="211" t="str">
        <f t="shared" ca="1" si="4"/>
        <v>TinPT Timah Tbk Kundur</v>
      </c>
    </row>
    <row r="37" spans="1:28" s="210" customFormat="1" ht="20.25">
      <c r="A37" s="165" t="s">
        <v>750</v>
      </c>
      <c r="B37" s="166" t="str">
        <f ca="1">IF(LEN(A37)=0,"",INDEX('Smelter Look-up'!$A:$A,MATCH($A37,'Smelter Look-up'!$E:$E,0)))</f>
        <v>Tin</v>
      </c>
      <c r="C37" s="170" t="str">
        <f ca="1">IF(LEN(A37)=0,"",INDEX('Smelter Look-up'!$C:$C,MATCH($A37,'Smelter Look-up'!$E:$E,0)))</f>
        <v>PT Timah Tbk Mentok</v>
      </c>
      <c r="D37" s="213"/>
      <c r="E37" s="166" t="str">
        <f ca="1">IF(ISERROR($V37),"",OFFSET('Smelter Look-up'!$D$4,$V37-4,0)&amp;"")</f>
        <v>INDONESIA</v>
      </c>
      <c r="F37" s="166" t="str">
        <f ca="1">IF(ISERROR($V37),"",OFFSET('Smelter Look-up'!$E$4,$V37-4,0))</f>
        <v>CID001482</v>
      </c>
      <c r="G37" s="166" t="str">
        <f ca="1">IF(C37=$X$4,IF(ISERROR($V37),"Enter smelter details","RMI"),IF(ISERROR($V37),"",OFFSET('Smelter Look-up'!$F$4,$V37-4,0)))</f>
        <v>RMI</v>
      </c>
      <c r="H37" s="167">
        <f ca="1">IF(ISERROR($V37),"",OFFSET('Smelter Look-up'!$G$4,$V37-4,0))</f>
        <v>0</v>
      </c>
      <c r="I37" s="168" t="str">
        <f ca="1">IF(ISERROR($V37),"",OFFSET('Smelter Look-up'!$H$4,$V37-4,0))</f>
        <v>Mentok</v>
      </c>
      <c r="J37" s="168" t="str">
        <f ca="1">IF(ISERROR($V37),"",OFFSET('Smelter Look-up'!$I$4,$V37-4,0))</f>
        <v>Kepulauan Bangka Belitung</v>
      </c>
      <c r="K37" s="207"/>
      <c r="L37" s="207"/>
      <c r="M37" s="207"/>
      <c r="N37" s="207"/>
      <c r="O37" s="207"/>
      <c r="P37" s="169"/>
      <c r="Q37" s="208"/>
      <c r="R37" s="166" t="str">
        <f ca="1">IF(ISERROR($V37),"",OFFSET('Smelter Look-up'!$C$4,$V37-4,0)&amp;"")</f>
        <v>PT Timah Tbk Mentok</v>
      </c>
      <c r="S37" s="165" t="str">
        <f t="shared" ca="1" si="2"/>
        <v>ID</v>
      </c>
      <c r="T37" s="165" t="str">
        <f ca="1">IF(B37="","",IF(ISERROR(MATCH($J37,SorP!$B$1:$B$6261,0)),"",INDIRECT("'SorP'!$A$"&amp;MATCH($S37&amp;$J37,SorP!C:C,0))))</f>
        <v>ID-BB</v>
      </c>
      <c r="U37" s="185"/>
      <c r="V37" s="209">
        <f ca="1">IF(C37="",NA(),IF(OR(C37="Smelter not listed",C37="Smelter not yet identified"),MATCH($B37&amp;$D37,'Smelter Look-up'!$J:$J,0),MATCH($B37&amp;$C37,'Smelter Look-up'!$J:$J,0)))</f>
        <v>532</v>
      </c>
      <c r="X37" s="210">
        <f t="shared" ca="1" si="3"/>
        <v>0</v>
      </c>
      <c r="AB37" s="211" t="str">
        <f t="shared" ca="1" si="4"/>
        <v>TinPT Timah Tbk Mentok</v>
      </c>
    </row>
    <row r="38" spans="1:28" s="210" customFormat="1" ht="20.25">
      <c r="A38" s="165" t="s">
        <v>752</v>
      </c>
      <c r="B38" s="166" t="str">
        <f ca="1">IF(LEN(A38)=0,"",INDEX('Smelter Look-up'!$A:$A,MATCH($A38,'Smelter Look-up'!$E:$E,0)))</f>
        <v>Tin</v>
      </c>
      <c r="C38" s="170" t="str">
        <f ca="1">IF(LEN(A38)=0,"",INDEX('Smelter Look-up'!$C:$C,MATCH($A38,'Smelter Look-up'!$E:$E,0)))</f>
        <v>Rui Da Hung</v>
      </c>
      <c r="D38" s="213"/>
      <c r="E38" s="166" t="str">
        <f ca="1">IF(ISERROR($V38),"",OFFSET('Smelter Look-up'!$D$4,$V38-4,0)&amp;"")</f>
        <v>TAIWAN, PROVINCE OF CHINA</v>
      </c>
      <c r="F38" s="166" t="str">
        <f ca="1">IF(ISERROR($V38),"",OFFSET('Smelter Look-up'!$E$4,$V38-4,0))</f>
        <v>CID001539</v>
      </c>
      <c r="G38" s="166" t="str">
        <f ca="1">IF(C38=$X$4,IF(ISERROR($V38),"Enter smelter details","RMI"),IF(ISERROR($V38),"",OFFSET('Smelter Look-up'!$F$4,$V38-4,0)))</f>
        <v>RMI</v>
      </c>
      <c r="H38" s="167">
        <f ca="1">IF(ISERROR($V38),"",OFFSET('Smelter Look-up'!$G$4,$V38-4,0))</f>
        <v>0</v>
      </c>
      <c r="I38" s="168" t="str">
        <f ca="1">IF(ISERROR($V38),"",OFFSET('Smelter Look-up'!$H$4,$V38-4,0))</f>
        <v>Longtan Shiang Taoyuan</v>
      </c>
      <c r="J38" s="168" t="str">
        <f ca="1">IF(ISERROR($V38),"",OFFSET('Smelter Look-up'!$I$4,$V38-4,0))</f>
        <v>Taoyuan</v>
      </c>
      <c r="K38" s="207"/>
      <c r="L38" s="207"/>
      <c r="M38" s="207"/>
      <c r="N38" s="207"/>
      <c r="O38" s="207"/>
      <c r="P38" s="169"/>
      <c r="Q38" s="208"/>
      <c r="R38" s="166" t="str">
        <f ca="1">IF(ISERROR($V38),"",OFFSET('Smelter Look-up'!$C$4,$V38-4,0)&amp;"")</f>
        <v>Rui Da Hung</v>
      </c>
      <c r="S38" s="165" t="str">
        <f t="shared" ref="S38:S68" ca="1" si="5">IF(B38="","",IF(ISERROR(MATCH($E38,CL,0)),"Unknown",INDIRECT("'C'!$A$"&amp;MATCH($E38,CL,0)+1)))</f>
        <v>TW</v>
      </c>
      <c r="T38" s="165" t="str">
        <f ca="1">IF(B38="","",IF(ISERROR(MATCH($J38,SorP!$B$1:$B$6261,0)),"",INDIRECT("'SorP'!$A$"&amp;MATCH($S38&amp;$J38,SorP!C:C,0))))</f>
        <v>TW-TAO</v>
      </c>
      <c r="U38" s="185"/>
      <c r="V38" s="209">
        <f ca="1">IF(C38="",NA(),IF(OR(C38="Smelter not listed",C38="Smelter not yet identified"),MATCH($B38&amp;$D38,'Smelter Look-up'!$J:$J,0),MATCH($B38&amp;$C38,'Smelter Look-up'!$J:$J,0)))</f>
        <v>537</v>
      </c>
      <c r="X38" s="210">
        <f t="shared" ref="X38:X68" ca="1" si="6">IF(AND(C38="Smelter not listed",OR(LEN(D38)=0,LEN(E38)=0)),1,0)</f>
        <v>0</v>
      </c>
      <c r="AB38" s="211" t="str">
        <f t="shared" ref="AB38:AB68" ca="1" si="7">B38&amp;C38</f>
        <v>TinRui Da Hung</v>
      </c>
    </row>
    <row r="39" spans="1:28" s="210" customFormat="1" ht="20.25">
      <c r="A39" s="165" t="s">
        <v>753</v>
      </c>
      <c r="B39" s="166" t="str">
        <f ca="1">IF(LEN(A39)=0,"",INDEX('Smelter Look-up'!$A:$A,MATCH($A39,'Smelter Look-up'!$E:$E,0)))</f>
        <v>Tin</v>
      </c>
      <c r="C39" s="170" t="str">
        <f ca="1">IF(LEN(A39)=0,"",INDEX('Smelter Look-up'!$C:$C,MATCH($A39,'Smelter Look-up'!$E:$E,0)))</f>
        <v>Thaisarco</v>
      </c>
      <c r="D39" s="213"/>
      <c r="E39" s="166" t="str">
        <f ca="1">IF(ISERROR($V39),"",OFFSET('Smelter Look-up'!$D$4,$V39-4,0)&amp;"")</f>
        <v>THAILAND</v>
      </c>
      <c r="F39" s="166" t="str">
        <f ca="1">IF(ISERROR($V39),"",OFFSET('Smelter Look-up'!$E$4,$V39-4,0))</f>
        <v>CID001898</v>
      </c>
      <c r="G39" s="166" t="str">
        <f ca="1">IF(C39=$X$4,IF(ISERROR($V39),"Enter smelter details","RMI"),IF(ISERROR($V39),"",OFFSET('Smelter Look-up'!$F$4,$V39-4,0)))</f>
        <v>RMI</v>
      </c>
      <c r="H39" s="167">
        <f ca="1">IF(ISERROR($V39),"",OFFSET('Smelter Look-up'!$G$4,$V39-4,0))</f>
        <v>0</v>
      </c>
      <c r="I39" s="168" t="str">
        <f ca="1">IF(ISERROR($V39),"",OFFSET('Smelter Look-up'!$H$4,$V39-4,0))</f>
        <v>Amphur Muang</v>
      </c>
      <c r="J39" s="168" t="str">
        <f ca="1">IF(ISERROR($V39),"",OFFSET('Smelter Look-up'!$I$4,$V39-4,0))</f>
        <v>Phuket</v>
      </c>
      <c r="K39" s="207"/>
      <c r="L39" s="207"/>
      <c r="M39" s="207"/>
      <c r="N39" s="207"/>
      <c r="O39" s="207"/>
      <c r="P39" s="169"/>
      <c r="Q39" s="208"/>
      <c r="R39" s="166" t="str">
        <f ca="1">IF(ISERROR($V39),"",OFFSET('Smelter Look-up'!$C$4,$V39-4,0)&amp;"")</f>
        <v>Thaisarco</v>
      </c>
      <c r="S39" s="165" t="str">
        <f t="shared" ca="1" si="5"/>
        <v>TH</v>
      </c>
      <c r="T39" s="165" t="str">
        <f ca="1">IF(B39="","",IF(ISERROR(MATCH($J39,SorP!$B$1:$B$6261,0)),"",INDIRECT("'SorP'!$A$"&amp;MATCH($S39&amp;$J39,SorP!C:C,0))))</f>
        <v>TH-83</v>
      </c>
      <c r="U39" s="185"/>
      <c r="V39" s="209">
        <f ca="1">IF(C39="",NA(),IF(OR(C39="Smelter not listed",C39="Smelter not yet identified"),MATCH($B39&amp;$D39,'Smelter Look-up'!$J:$J,0),MATCH($B39&amp;$C39,'Smelter Look-up'!$J:$J,0)))</f>
        <v>543</v>
      </c>
      <c r="X39" s="210">
        <f t="shared" ca="1" si="6"/>
        <v>0</v>
      </c>
      <c r="AB39" s="211" t="str">
        <f t="shared" ca="1" si="7"/>
        <v>TinThaisarco</v>
      </c>
    </row>
    <row r="40" spans="1:28" s="210" customFormat="1" ht="20.25">
      <c r="A40" s="165" t="s">
        <v>754</v>
      </c>
      <c r="B40" s="166" t="str">
        <f ca="1">IF(LEN(A40)=0,"",INDEX('Smelter Look-up'!$A:$A,MATCH($A40,'Smelter Look-up'!$E:$E,0)))</f>
        <v>Tin</v>
      </c>
      <c r="C40" s="170" t="str">
        <f ca="1">IF(LEN(A40)=0,"",INDEX('Smelter Look-up'!$C:$C,MATCH($A40,'Smelter Look-up'!$E:$E,0)))</f>
        <v>White Solder Metalurgia e Mineracao Ltda.</v>
      </c>
      <c r="D40" s="213"/>
      <c r="E40" s="166" t="str">
        <f ca="1">IF(ISERROR($V40),"",OFFSET('Smelter Look-up'!$D$4,$V40-4,0)&amp;"")</f>
        <v>BRAZIL</v>
      </c>
      <c r="F40" s="166" t="str">
        <f ca="1">IF(ISERROR($V40),"",OFFSET('Smelter Look-up'!$E$4,$V40-4,0))</f>
        <v>CID002036</v>
      </c>
      <c r="G40" s="166" t="str">
        <f ca="1">IF(C40=$X$4,IF(ISERROR($V40),"Enter smelter details","RMI"),IF(ISERROR($V40),"",OFFSET('Smelter Look-up'!$F$4,$V40-4,0)))</f>
        <v>RMI</v>
      </c>
      <c r="H40" s="167">
        <f ca="1">IF(ISERROR($V40),"",OFFSET('Smelter Look-up'!$G$4,$V40-4,0))</f>
        <v>0</v>
      </c>
      <c r="I40" s="168" t="str">
        <f ca="1">IF(ISERROR($V40),"",OFFSET('Smelter Look-up'!$H$4,$V40-4,0))</f>
        <v>Ariquemes</v>
      </c>
      <c r="J40" s="168" t="str">
        <f ca="1">IF(ISERROR($V40),"",OFFSET('Smelter Look-up'!$I$4,$V40-4,0))</f>
        <v>Rondônia</v>
      </c>
      <c r="K40" s="207"/>
      <c r="L40" s="207"/>
      <c r="M40" s="207"/>
      <c r="N40" s="207"/>
      <c r="O40" s="207"/>
      <c r="P40" s="169"/>
      <c r="Q40" s="208"/>
      <c r="R40" s="166" t="str">
        <f ca="1">IF(ISERROR($V40),"",OFFSET('Smelter Look-up'!$C$4,$V40-4,0)&amp;"")</f>
        <v>White Solder Metalurgia e Mineracao Ltda.</v>
      </c>
      <c r="S40" s="165" t="str">
        <f t="shared" ca="1" si="5"/>
        <v>BR</v>
      </c>
      <c r="T40" s="165" t="str">
        <f ca="1">IF(B40="","",IF(ISERROR(MATCH($J40,SorP!$B$1:$B$6261,0)),"",INDIRECT("'SorP'!$A$"&amp;MATCH($S40&amp;$J40,SorP!C:C,0))))</f>
        <v>BR-RO</v>
      </c>
      <c r="U40" s="185"/>
      <c r="V40" s="209">
        <f ca="1">IF(C40="",NA(),IF(OR(C40="Smelter not listed",C40="Smelter not yet identified"),MATCH($B40&amp;$D40,'Smelter Look-up'!$J:$J,0),MATCH($B40&amp;$C40,'Smelter Look-up'!$J:$J,0)))</f>
        <v>551</v>
      </c>
      <c r="X40" s="210">
        <f t="shared" ca="1" si="6"/>
        <v>0</v>
      </c>
      <c r="AB40" s="211" t="str">
        <f t="shared" ca="1" si="7"/>
        <v>TinWhite Solder Metalurgia e Mineracao Ltda.</v>
      </c>
    </row>
    <row r="41" spans="1:28" s="210" customFormat="1" ht="20.25">
      <c r="A41" s="165" t="s">
        <v>756</v>
      </c>
      <c r="B41" s="166" t="str">
        <f ca="1">IF(LEN(A41)=0,"",INDEX('Smelter Look-up'!$A:$A,MATCH($A41,'Smelter Look-up'!$E:$E,0)))</f>
        <v>Tin</v>
      </c>
      <c r="C41" s="170" t="str">
        <f ca="1">IF(LEN(A41)=0,"",INDEX('Smelter Look-up'!$C:$C,MATCH($A41,'Smelter Look-up'!$E:$E,0)))</f>
        <v>Tin Smelting Branch of Yunnan Tin Co., Ltd.</v>
      </c>
      <c r="D41" s="213"/>
      <c r="E41" s="166" t="str">
        <f ca="1">IF(ISERROR($V41),"",OFFSET('Smelter Look-up'!$D$4,$V41-4,0)&amp;"")</f>
        <v>CHINA</v>
      </c>
      <c r="F41" s="166" t="str">
        <f ca="1">IF(ISERROR($V41),"",OFFSET('Smelter Look-up'!$E$4,$V41-4,0))</f>
        <v>CID002180</v>
      </c>
      <c r="G41" s="166" t="str">
        <f ca="1">IF(C41=$X$4,IF(ISERROR($V41),"Enter smelter details","RMI"),IF(ISERROR($V41),"",OFFSET('Smelter Look-up'!$F$4,$V41-4,0)))</f>
        <v>RMI</v>
      </c>
      <c r="H41" s="167">
        <f ca="1">IF(ISERROR($V41),"",OFFSET('Smelter Look-up'!$G$4,$V41-4,0))</f>
        <v>0</v>
      </c>
      <c r="I41" s="168" t="str">
        <f ca="1">IF(ISERROR($V41),"",OFFSET('Smelter Look-up'!$H$4,$V41-4,0))</f>
        <v>Gejiu</v>
      </c>
      <c r="J41" s="168" t="str">
        <f ca="1">IF(ISERROR($V41),"",OFFSET('Smelter Look-up'!$I$4,$V41-4,0))</f>
        <v>Yunnan Sheng</v>
      </c>
      <c r="K41" s="207"/>
      <c r="L41" s="207"/>
      <c r="M41" s="207"/>
      <c r="N41" s="207"/>
      <c r="O41" s="207"/>
      <c r="P41" s="169"/>
      <c r="Q41" s="208"/>
      <c r="R41" s="166" t="str">
        <f ca="1">IF(ISERROR($V41),"",OFFSET('Smelter Look-up'!$C$4,$V41-4,0)&amp;"")</f>
        <v>Tin Smelting Branch of Yunnan Tin Co., Ltd.</v>
      </c>
      <c r="S41" s="165" t="str">
        <f t="shared" ca="1" si="5"/>
        <v>CN</v>
      </c>
      <c r="T41" s="165" t="str">
        <f ca="1">IF(B41="","",IF(ISERROR(MATCH($J41,SorP!$B$1:$B$6261,0)),"",INDIRECT("'SorP'!$A$"&amp;MATCH($S41&amp;$J41,SorP!C:C,0))))</f>
        <v>CN-YN</v>
      </c>
      <c r="U41" s="185"/>
      <c r="V41" s="209">
        <f ca="1">IF(C41="",NA(),IF(OR(C41="Smelter not listed",C41="Smelter not yet identified"),MATCH($B41&amp;$D41,'Smelter Look-up'!$J:$J,0),MATCH($B41&amp;$C41,'Smelter Look-up'!$J:$J,0)))</f>
        <v>546</v>
      </c>
      <c r="X41" s="210">
        <f t="shared" ca="1" si="6"/>
        <v>0</v>
      </c>
      <c r="AB41" s="211" t="str">
        <f t="shared" ca="1" si="7"/>
        <v>TinTin Smelting Branch of Yunnan Tin Co., Ltd.</v>
      </c>
    </row>
    <row r="42" spans="1:28" s="210" customFormat="1" ht="20.25">
      <c r="A42" s="165" t="s">
        <v>1356</v>
      </c>
      <c r="B42" s="166" t="str">
        <f ca="1">IF(LEN(A42)=0,"",INDEX('Smelter Look-up'!$A:$A,MATCH($A42,'Smelter Look-up'!$E:$E,0)))</f>
        <v>Tin</v>
      </c>
      <c r="C42" s="170" t="str">
        <f ca="1">IF(LEN(A42)=0,"",INDEX('Smelter Look-up'!$C:$C,MATCH($A42,'Smelter Look-up'!$E:$E,0)))</f>
        <v>PT ATD Makmur Mandiri Jaya</v>
      </c>
      <c r="D42" s="213"/>
      <c r="E42" s="166" t="str">
        <f ca="1">IF(ISERROR($V42),"",OFFSET('Smelter Look-up'!$D$4,$V42-4,0)&amp;"")</f>
        <v>INDONESIA</v>
      </c>
      <c r="F42" s="166" t="str">
        <f ca="1">IF(ISERROR($V42),"",OFFSET('Smelter Look-up'!$E$4,$V42-4,0))</f>
        <v>CID002503</v>
      </c>
      <c r="G42" s="166" t="str">
        <f ca="1">IF(C42=$X$4,IF(ISERROR($V42),"Enter smelter details","RMI"),IF(ISERROR($V42),"",OFFSET('Smelter Look-up'!$F$4,$V42-4,0)))</f>
        <v>RMI</v>
      </c>
      <c r="H42" s="167">
        <f ca="1">IF(ISERROR($V42),"",OFFSET('Smelter Look-up'!$G$4,$V42-4,0))</f>
        <v>0</v>
      </c>
      <c r="I42" s="168" t="str">
        <f ca="1">IF(ISERROR($V42),"",OFFSET('Smelter Look-up'!$H$4,$V42-4,0))</f>
        <v>Sungailiat</v>
      </c>
      <c r="J42" s="168" t="str">
        <f ca="1">IF(ISERROR($V42),"",OFFSET('Smelter Look-up'!$I$4,$V42-4,0))</f>
        <v>Kepulauan Bangka Belitung</v>
      </c>
      <c r="K42" s="207"/>
      <c r="L42" s="207"/>
      <c r="M42" s="207"/>
      <c r="N42" s="207"/>
      <c r="O42" s="207"/>
      <c r="P42" s="169"/>
      <c r="Q42" s="208"/>
      <c r="R42" s="166" t="str">
        <f ca="1">IF(ISERROR($V42),"",OFFSET('Smelter Look-up'!$C$4,$V42-4,0)&amp;"")</f>
        <v>PT ATD Makmur Mandiri Jaya</v>
      </c>
      <c r="S42" s="165" t="str">
        <f t="shared" ca="1" si="5"/>
        <v>ID</v>
      </c>
      <c r="T42" s="165" t="str">
        <f ca="1">IF(B42="","",IF(ISERROR(MATCH($J42,SorP!$B$1:$B$6261,0)),"",INDIRECT("'SorP'!$A$"&amp;MATCH($S42&amp;$J42,SorP!C:C,0))))</f>
        <v>ID-BB</v>
      </c>
      <c r="U42" s="185"/>
      <c r="V42" s="209">
        <f ca="1">IF(C42="",NA(),IF(OR(C42="Smelter not listed",C42="Smelter not yet identified"),MATCH($B42&amp;$D42,'Smelter Look-up'!$J:$J,0),MATCH($B42&amp;$C42,'Smelter Look-up'!$J:$J,0)))</f>
        <v>520</v>
      </c>
      <c r="X42" s="210">
        <f t="shared" ca="1" si="6"/>
        <v>0</v>
      </c>
      <c r="AB42" s="211" t="str">
        <f t="shared" ca="1" si="7"/>
        <v>TinPT ATD Makmur Mandiri Jaya</v>
      </c>
    </row>
    <row r="43" spans="1:28" s="210" customFormat="1" ht="20.25">
      <c r="A43" s="165" t="s">
        <v>1728</v>
      </c>
      <c r="B43" s="166" t="str">
        <f ca="1">IF(LEN(A43)=0,"",INDEX('Smelter Look-up'!$A:$A,MATCH($A43,'Smelter Look-up'!$E:$E,0)))</f>
        <v>Tin</v>
      </c>
      <c r="C43" s="170" t="str">
        <f ca="1">IF(LEN(A43)=0,"",INDEX('Smelter Look-up'!$C:$C,MATCH($A43,'Smelter Look-up'!$E:$E,0)))</f>
        <v>Aurubis Beerse</v>
      </c>
      <c r="D43" s="213"/>
      <c r="E43" s="166" t="str">
        <f ca="1">IF(ISERROR($V43),"",OFFSET('Smelter Look-up'!$D$4,$V43-4,0)&amp;"")</f>
        <v>BELGIUM</v>
      </c>
      <c r="F43" s="166" t="str">
        <f ca="1">IF(ISERROR($V43),"",OFFSET('Smelter Look-up'!$E$4,$V43-4,0))</f>
        <v>CID002773</v>
      </c>
      <c r="G43" s="166" t="str">
        <f ca="1">IF(C43=$X$4,IF(ISERROR($V43),"Enter smelter details","RMI"),IF(ISERROR($V43),"",OFFSET('Smelter Look-up'!$F$4,$V43-4,0)))</f>
        <v>RMI</v>
      </c>
      <c r="H43" s="167">
        <f ca="1">IF(ISERROR($V43),"",OFFSET('Smelter Look-up'!$G$4,$V43-4,0))</f>
        <v>0</v>
      </c>
      <c r="I43" s="168" t="str">
        <f ca="1">IF(ISERROR($V43),"",OFFSET('Smelter Look-up'!$H$4,$V43-4,0))</f>
        <v>Beerse</v>
      </c>
      <c r="J43" s="168" t="str">
        <f ca="1">IF(ISERROR($V43),"",OFFSET('Smelter Look-up'!$I$4,$V43-4,0))</f>
        <v>Antwerpen</v>
      </c>
      <c r="K43" s="207"/>
      <c r="L43" s="207"/>
      <c r="M43" s="207"/>
      <c r="N43" s="207"/>
      <c r="O43" s="207"/>
      <c r="P43" s="169"/>
      <c r="Q43" s="208"/>
      <c r="R43" s="166" t="str">
        <f ca="1">IF(ISERROR($V43),"",OFFSET('Smelter Look-up'!$C$4,$V43-4,0)&amp;"")</f>
        <v>Aurubis Beerse</v>
      </c>
      <c r="S43" s="165" t="str">
        <f t="shared" ca="1" si="5"/>
        <v>BE</v>
      </c>
      <c r="T43" s="165" t="str">
        <f ca="1">IF(B43="","",IF(ISERROR(MATCH($J43,SorP!$B$1:$B$6261,0)),"",INDIRECT("'SorP'!$A$"&amp;MATCH($S43&amp;$J43,SorP!C:C,0))))</f>
        <v>BE-VAN</v>
      </c>
      <c r="U43" s="185"/>
      <c r="V43" s="209">
        <f ca="1">IF(C43="",NA(),IF(OR(C43="Smelter not listed",C43="Smelter not yet identified"),MATCH($B43&amp;$D43,'Smelter Look-up'!$J:$J,0),MATCH($B43&amp;$C43,'Smelter Look-up'!$J:$J,0)))</f>
        <v>423</v>
      </c>
      <c r="X43" s="210">
        <f t="shared" ca="1" si="6"/>
        <v>0</v>
      </c>
      <c r="AB43" s="211" t="str">
        <f t="shared" ca="1" si="7"/>
        <v>TinAurubis Beerse</v>
      </c>
    </row>
    <row r="44" spans="1:28" s="210" customFormat="1" ht="20.25">
      <c r="A44" s="165" t="s">
        <v>14907</v>
      </c>
      <c r="B44" s="166" t="str">
        <f ca="1">IF(LEN(A44)=0,"",INDEX('Smelter Look-up'!$A:$A,MATCH($A44,'Smelter Look-up'!$E:$E,0)))</f>
        <v>Tin</v>
      </c>
      <c r="C44" s="170" t="str">
        <f ca="1">IF(LEN(A44)=0,"",INDEX('Smelter Look-up'!$C:$C,MATCH($A44,'Smelter Look-up'!$E:$E,0)))</f>
        <v>PT Bangka Prima Tin</v>
      </c>
      <c r="D44" s="213"/>
      <c r="E44" s="166" t="str">
        <f ca="1">IF(ISERROR($V44),"",OFFSET('Smelter Look-up'!$D$4,$V44-4,0)&amp;"")</f>
        <v>INDONESIA</v>
      </c>
      <c r="F44" s="166" t="str">
        <f ca="1">IF(ISERROR($V44),"",OFFSET('Smelter Look-up'!$E$4,$V44-4,0))</f>
        <v>CID002776</v>
      </c>
      <c r="G44" s="166" t="str">
        <f ca="1">IF(C44=$X$4,IF(ISERROR($V44),"Enter smelter details","RMI"),IF(ISERROR($V44),"",OFFSET('Smelter Look-up'!$F$4,$V44-4,0)))</f>
        <v>RMI</v>
      </c>
      <c r="H44" s="167">
        <f ca="1">IF(ISERROR($V44),"",OFFSET('Smelter Look-up'!$G$4,$V44-4,0))</f>
        <v>0</v>
      </c>
      <c r="I44" s="168" t="str">
        <f ca="1">IF(ISERROR($V44),"",OFFSET('Smelter Look-up'!$H$4,$V44-4,0))</f>
        <v>Air Mesu</v>
      </c>
      <c r="J44" s="168" t="str">
        <f ca="1">IF(ISERROR($V44),"",OFFSET('Smelter Look-up'!$I$4,$V44-4,0))</f>
        <v>Kepulauan Bangka Belitung</v>
      </c>
      <c r="K44" s="207"/>
      <c r="L44" s="207"/>
      <c r="M44" s="207"/>
      <c r="N44" s="207"/>
      <c r="O44" s="207"/>
      <c r="P44" s="169"/>
      <c r="Q44" s="208"/>
      <c r="R44" s="166" t="str">
        <f ca="1">IF(ISERROR($V44),"",OFFSET('Smelter Look-up'!$C$4,$V44-4,0)&amp;"")</f>
        <v>PT Bangka Prima Tin</v>
      </c>
      <c r="S44" s="165" t="str">
        <f t="shared" ca="1" si="5"/>
        <v>ID</v>
      </c>
      <c r="T44" s="165" t="str">
        <f ca="1">IF(B44="","",IF(ISERROR(MATCH($J44,SorP!$B$1:$B$6261,0)),"",INDIRECT("'SorP'!$A$"&amp;MATCH($S44&amp;$J44,SorP!C:C,0))))</f>
        <v>ID-BB</v>
      </c>
      <c r="U44" s="185"/>
      <c r="V44" s="209">
        <f ca="1">IF(C44="",NA(),IF(OR(C44="Smelter not listed",C44="Smelter not yet identified"),MATCH($B44&amp;$D44,'Smelter Look-up'!$J:$J,0),MATCH($B44&amp;$C44,'Smelter Look-up'!$J:$J,0)))</f>
        <v>521</v>
      </c>
      <c r="X44" s="210">
        <f t="shared" ca="1" si="6"/>
        <v>0</v>
      </c>
      <c r="AB44" s="211" t="str">
        <f t="shared" ca="1" si="7"/>
        <v>TinPT Bangka Prima Tin</v>
      </c>
    </row>
    <row r="45" spans="1:28" s="210" customFormat="1" ht="20.25">
      <c r="A45" s="165" t="s">
        <v>13349</v>
      </c>
      <c r="B45" s="166" t="str">
        <f ca="1">IF(LEN(A45)=0,"",INDEX('Smelter Look-up'!$A:$A,MATCH($A45,'Smelter Look-up'!$E:$E,0)))</f>
        <v>Tin</v>
      </c>
      <c r="C45" s="170" t="str">
        <f ca="1">IF(LEN(A45)=0,"",INDEX('Smelter Look-up'!$C:$C,MATCH($A45,'Smelter Look-up'!$E:$E,0)))</f>
        <v>PT Mitra Sukses Globalindo</v>
      </c>
      <c r="D45" s="213"/>
      <c r="E45" s="166" t="str">
        <f ca="1">IF(ISERROR($V45),"",OFFSET('Smelter Look-up'!$D$4,$V45-4,0)&amp;"")</f>
        <v>INDONESIA</v>
      </c>
      <c r="F45" s="166" t="str">
        <f ca="1">IF(ISERROR($V45),"",OFFSET('Smelter Look-up'!$E$4,$V45-4,0))</f>
        <v>CID003449</v>
      </c>
      <c r="G45" s="166" t="str">
        <f ca="1">IF(C45=$X$4,IF(ISERROR($V45),"Enter smelter details","RMI"),IF(ISERROR($V45),"",OFFSET('Smelter Look-up'!$F$4,$V45-4,0)))</f>
        <v>RMI</v>
      </c>
      <c r="H45" s="167">
        <f ca="1">IF(ISERROR($V45),"",OFFSET('Smelter Look-up'!$G$4,$V45-4,0))</f>
        <v>0</v>
      </c>
      <c r="I45" s="168" t="str">
        <f ca="1">IF(ISERROR($V45),"",OFFSET('Smelter Look-up'!$H$4,$V45-4,0))</f>
        <v>Pangkalpinang</v>
      </c>
      <c r="J45" s="168" t="str">
        <f ca="1">IF(ISERROR($V45),"",OFFSET('Smelter Look-up'!$I$4,$V45-4,0))</f>
        <v>Kepulauan Bangka Belitung</v>
      </c>
      <c r="K45" s="207"/>
      <c r="L45" s="207"/>
      <c r="M45" s="207"/>
      <c r="N45" s="207"/>
      <c r="O45" s="207"/>
      <c r="P45" s="169"/>
      <c r="Q45" s="208"/>
      <c r="R45" s="166" t="str">
        <f ca="1">IF(ISERROR($V45),"",OFFSET('Smelter Look-up'!$C$4,$V45-4,0)&amp;"")</f>
        <v>PT Mitra Sukses Globalindo</v>
      </c>
      <c r="S45" s="165" t="str">
        <f t="shared" ca="1" si="5"/>
        <v>ID</v>
      </c>
      <c r="T45" s="165" t="str">
        <f ca="1">IF(B45="","",IF(ISERROR(MATCH($J45,SorP!$B$1:$B$6261,0)),"",INDIRECT("'SorP'!$A$"&amp;MATCH($S45&amp;$J45,SorP!C:C,0))))</f>
        <v>ID-BB</v>
      </c>
      <c r="U45" s="185"/>
      <c r="V45" s="209">
        <f ca="1">IF(C45="",NA(),IF(OR(C45="Smelter not listed",C45="Smelter not yet identified"),MATCH($B45&amp;$D45,'Smelter Look-up'!$J:$J,0),MATCH($B45&amp;$C45,'Smelter Look-up'!$J:$J,0)))</f>
        <v>525</v>
      </c>
      <c r="X45" s="210">
        <f t="shared" ca="1" si="6"/>
        <v>0</v>
      </c>
      <c r="AB45" s="211" t="str">
        <f t="shared" ca="1" si="7"/>
        <v>TinPT Mitra Sukses Globalindo</v>
      </c>
    </row>
    <row r="46" spans="1:28" s="210" customFormat="1" ht="20.25">
      <c r="A46" s="165" t="s">
        <v>14529</v>
      </c>
      <c r="B46" s="166" t="str">
        <f ca="1">IF(LEN(A46)=0,"",INDEX('Smelter Look-up'!$A:$A,MATCH($A46,'Smelter Look-up'!$E:$E,0)))</f>
        <v>Tin</v>
      </c>
      <c r="C46" s="170" t="str">
        <f ca="1">IF(LEN(A46)=0,"",INDEX('Smelter Look-up'!$C:$C,MATCH($A46,'Smelter Look-up'!$E:$E,0)))</f>
        <v>CRM Synergies EMEA, S.L.U.</v>
      </c>
      <c r="D46" s="213"/>
      <c r="E46" s="166" t="str">
        <f ca="1">IF(ISERROR($V46),"",OFFSET('Smelter Look-up'!$D$4,$V46-4,0)&amp;"")</f>
        <v>SPAIN</v>
      </c>
      <c r="F46" s="166" t="str">
        <f ca="1">IF(ISERROR($V46),"",OFFSET('Smelter Look-up'!$E$4,$V46-4,0))</f>
        <v>CID003524</v>
      </c>
      <c r="G46" s="166" t="str">
        <f ca="1">IF(C46=$X$4,IF(ISERROR($V46),"Enter smelter details","RMI"),IF(ISERROR($V46),"",OFFSET('Smelter Look-up'!$F$4,$V46-4,0)))</f>
        <v>RMI</v>
      </c>
      <c r="H46" s="167">
        <f ca="1">IF(ISERROR($V46),"",OFFSET('Smelter Look-up'!$G$4,$V46-4,0))</f>
        <v>0</v>
      </c>
      <c r="I46" s="168" t="str">
        <f ca="1">IF(ISERROR($V46),"",OFFSET('Smelter Look-up'!$H$4,$V46-4,0))</f>
        <v>Las Ventas de Retamosa</v>
      </c>
      <c r="J46" s="168" t="str">
        <f ca="1">IF(ISERROR($V46),"",OFFSET('Smelter Look-up'!$I$4,$V46-4,0))</f>
        <v>Toledo</v>
      </c>
      <c r="K46" s="207"/>
      <c r="L46" s="207"/>
      <c r="M46" s="207"/>
      <c r="N46" s="207"/>
      <c r="O46" s="207"/>
      <c r="P46" s="169"/>
      <c r="Q46" s="208"/>
      <c r="R46" s="166" t="str">
        <f ca="1">IF(ISERROR($V46),"",OFFSET('Smelter Look-up'!$C$4,$V46-4,0)&amp;"")</f>
        <v>CRM Synergies EMEA, S.L.U.</v>
      </c>
      <c r="S46" s="165" t="str">
        <f t="shared" ca="1" si="5"/>
        <v>ES</v>
      </c>
      <c r="T46" s="165" t="str">
        <f ca="1">IF(B46="","",IF(ISERROR(MATCH($J46,SorP!$B$1:$B$6261,0)),"",INDIRECT("'SorP'!$A$"&amp;MATCH($S46&amp;$J46,SorP!C:C,0))))</f>
        <v>ES-TO</v>
      </c>
      <c r="U46" s="185"/>
      <c r="V46" s="209">
        <f ca="1">IF(C46="",NA(),IF(OR(C46="Smelter not listed",C46="Smelter not yet identified"),MATCH($B46&amp;$D46,'Smelter Look-up'!$J:$J,0),MATCH($B46&amp;$C46,'Smelter Look-up'!$J:$J,0)))</f>
        <v>442</v>
      </c>
      <c r="X46" s="210">
        <f t="shared" ca="1" si="6"/>
        <v>0</v>
      </c>
      <c r="AB46" s="211" t="str">
        <f t="shared" ca="1" si="7"/>
        <v>TinCRM Synergies EMEA, S.L.U.</v>
      </c>
    </row>
    <row r="47" spans="1:28" s="210" customFormat="1" ht="20.25">
      <c r="A47" s="165" t="s">
        <v>14873</v>
      </c>
      <c r="B47" s="166" t="str">
        <f ca="1">IF(LEN(A47)=0,"",INDEX('Smelter Look-up'!$A:$A,MATCH($A47,'Smelter Look-up'!$E:$E,0)))</f>
        <v>Tin</v>
      </c>
      <c r="C47" s="170" t="str">
        <f ca="1">IF(LEN(A47)=0,"",INDEX('Smelter Look-up'!$C:$C,MATCH($A47,'Smelter Look-up'!$E:$E,0)))</f>
        <v>PT Putera Sarana Shakti (PT PSS)</v>
      </c>
      <c r="D47" s="213"/>
      <c r="E47" s="166" t="str">
        <f ca="1">IF(ISERROR($V47),"",OFFSET('Smelter Look-up'!$D$4,$V47-4,0)&amp;"")</f>
        <v>INDONESIA</v>
      </c>
      <c r="F47" s="166" t="str">
        <f ca="1">IF(ISERROR($V47),"",OFFSET('Smelter Look-up'!$E$4,$V47-4,0))</f>
        <v>CID003868</v>
      </c>
      <c r="G47" s="166" t="str">
        <f ca="1">IF(C47=$X$4,IF(ISERROR($V47),"Enter smelter details","RMI"),IF(ISERROR($V47),"",OFFSET('Smelter Look-up'!$F$4,$V47-4,0)))</f>
        <v>RMI</v>
      </c>
      <c r="H47" s="167">
        <f ca="1">IF(ISERROR($V47),"",OFFSET('Smelter Look-up'!$G$4,$V47-4,0))</f>
        <v>0</v>
      </c>
      <c r="I47" s="168" t="str">
        <f ca="1">IF(ISERROR($V47),"",OFFSET('Smelter Look-up'!$H$4,$V47-4,0))</f>
        <v>Sungailiat</v>
      </c>
      <c r="J47" s="168" t="str">
        <f ca="1">IF(ISERROR($V47),"",OFFSET('Smelter Look-up'!$I$4,$V47-4,0))</f>
        <v>Kepulauan Bangka Belitung</v>
      </c>
      <c r="K47" s="207"/>
      <c r="L47" s="207"/>
      <c r="M47" s="207"/>
      <c r="N47" s="207"/>
      <c r="O47" s="207"/>
      <c r="P47" s="169"/>
      <c r="Q47" s="208"/>
      <c r="R47" s="166" t="str">
        <f ca="1">IF(ISERROR($V47),"",OFFSET('Smelter Look-up'!$C$4,$V47-4,0)&amp;"")</f>
        <v>PT Putera Sarana Shakti (PT PSS)</v>
      </c>
      <c r="S47" s="165" t="str">
        <f t="shared" ca="1" si="5"/>
        <v>ID</v>
      </c>
      <c r="T47" s="165" t="str">
        <f ca="1">IF(B47="","",IF(ISERROR(MATCH($J47,SorP!$B$1:$B$6261,0)),"",INDIRECT("'SorP'!$A$"&amp;MATCH($S47&amp;$J47,SorP!C:C,0))))</f>
        <v>ID-BB</v>
      </c>
      <c r="U47" s="185"/>
      <c r="V47" s="209">
        <f ca="1">IF(C47="",NA(),IF(OR(C47="Smelter not listed",C47="Smelter not yet identified"),MATCH($B47&amp;$D47,'Smelter Look-up'!$J:$J,0),MATCH($B47&amp;$C47,'Smelter Look-up'!$J:$J,0)))</f>
        <v>528</v>
      </c>
      <c r="X47" s="210">
        <f t="shared" ca="1" si="6"/>
        <v>0</v>
      </c>
      <c r="AB47" s="211" t="str">
        <f t="shared" ca="1" si="7"/>
        <v>TinPT Putera Sarana Shakti (PT PSS)</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EED0763-8945-41AC-A91C-B99CC225D4A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&amp;L_x000D_&amp;1#&amp;"Arial"&amp;8&amp;K000000                  intern | internal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2" activePane="bottomRight" state="frozen"/>
      <selection activeCell="A4" sqref="A4"/>
      <selection pane="topRight" activeCell="A4" sqref="A4"/>
      <selection pane="bottomLeft" activeCell="A4" sqref="A4"/>
      <selection pane="bottomRight" activeCell="Q9" sqref="Q9"/>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Rosenberger Hochfrequenztechnik GmbH &amp; Co. KG</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Dennis Schymitzek</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conflictminerals@rosenberger.com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 xml:space="preserve"> +49 8684 18 1111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Dennis Schymitzek</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conflictminerals@rosenberger.com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Unknown</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Unknown</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Unknown</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Unknown</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No</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No</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https://www.rosenberger.com/company/mission-statement/</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EU</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&amp;L_x000D_&amp;1#&amp;"Arial"&amp;8&amp;K000000                  intern | internal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&amp;L_x000D_&amp;1#&amp;"Arial"&amp;8&amp;K000000                  intern | internal&amp;CPage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headerFooter>
    <oddFooter>&amp;L_x000D_&amp;1#&amp;"Arial"&amp;8&amp;K000000                  intern | 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headerFooter>
    <oddFooter>&amp;L_x000D_&amp;1#&amp;"Arial"&amp;8&amp;K000000                  intern | internal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E5AFA3D-310A-45C6-AC6A-86777BA1ED1A}"/>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Javed, Muhammad Shafey</cp:lastModifiedBy>
  <cp:lastPrinted>2015-04-21T20:47:43Z</cp:lastPrinted>
  <dcterms:created xsi:type="dcterms:W3CDTF">2010-06-21T21:00:23Z</dcterms:created>
  <dcterms:modified xsi:type="dcterms:W3CDTF">2026-05-04T10:03:07Z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y fmtid="{D5CDD505-2E9C-101B-9397-08002B2CF9AE}" pid="5" name="MSIP_Label_a64ecf95-734b-4f3c-986c-b6305e51247a_Enabled">
    <vt:lpwstr>true</vt:lpwstr>
  </property>
  <property fmtid="{D5CDD505-2E9C-101B-9397-08002B2CF9AE}" pid="6" name="MSIP_Label_a64ecf95-734b-4f3c-986c-b6305e51247a_SetDate">
    <vt:lpwstr>2026-05-04T09:08:42Z</vt:lpwstr>
  </property>
  <property fmtid="{D5CDD505-2E9C-101B-9397-08002B2CF9AE}" pid="7" name="MSIP_Label_a64ecf95-734b-4f3c-986c-b6305e51247a_Method">
    <vt:lpwstr>Standard</vt:lpwstr>
  </property>
  <property fmtid="{D5CDD505-2E9C-101B-9397-08002B2CF9AE}" pid="8" name="MSIP_Label_a64ecf95-734b-4f3c-986c-b6305e51247a_Name">
    <vt:lpwstr>intern</vt:lpwstr>
  </property>
  <property fmtid="{D5CDD505-2E9C-101B-9397-08002B2CF9AE}" pid="9" name="MSIP_Label_a64ecf95-734b-4f3c-986c-b6305e51247a_SiteId">
    <vt:lpwstr>e57e7749-9b21-4cf2-a972-bb95d4afd826</vt:lpwstr>
  </property>
  <property fmtid="{D5CDD505-2E9C-101B-9397-08002B2CF9AE}" pid="10" name="MSIP_Label_a64ecf95-734b-4f3c-986c-b6305e51247a_ActionId">
    <vt:lpwstr>3d5cb8aa-3246-4c37-82a3-b422324ae7ac</vt:lpwstr>
  </property>
  <property fmtid="{D5CDD505-2E9C-101B-9397-08002B2CF9AE}" pid="11" name="MSIP_Label_a64ecf95-734b-4f3c-986c-b6305e51247a_ContentBits">
    <vt:lpwstr>2</vt:lpwstr>
  </property>
  <property fmtid="{D5CDD505-2E9C-101B-9397-08002B2CF9AE}" pid="12" name="MSIP_Label_a64ecf95-734b-4f3c-986c-b6305e51247a_Tag">
    <vt:lpwstr>10, 3, 0, 1</vt:lpwstr>
  </property>
</Properties>
</file>